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F:\Bureau\pour UPRT 5 decembre\"/>
    </mc:Choice>
  </mc:AlternateContent>
  <bookViews>
    <workbookView xWindow="0" yWindow="0" windowWidth="28800" windowHeight="12135"/>
  </bookViews>
  <sheets>
    <sheet name="CONTENU" sheetId="58" r:id="rId1"/>
    <sheet name="Boudin blanc SANS BOYAU" sheetId="61" r:id="rId2"/>
    <sheet name="Patrick Georgin" sheetId="49" r:id="rId3"/>
    <sheet name="boudin-blanc-ENSIA" sheetId="47" r:id="rId4"/>
    <sheet name="Boudin blanc d'Amélie" sheetId="55" r:id="rId5"/>
    <sheet name="boudin-blanc-CEPROC" sheetId="57" r:id="rId6"/>
    <sheet name="Boudin blanc cognac Mariette" sheetId="44" r:id="rId7"/>
    <sheet name="Modèles Michel Mariette" sheetId="63" r:id="rId8"/>
    <sheet name="Boutique OLIDA PARIS" sheetId="27" r:id="rId9"/>
    <sheet name="BB truffé" sheetId="35" r:id="rId10"/>
    <sheet name="BB au cêpes" sheetId="33" r:id="rId11"/>
    <sheet name="BB orange cointreau" sheetId="32" r:id="rId12"/>
    <sheet name="BB kirsch" sheetId="30" r:id="rId13"/>
    <sheet name="BB porto" sheetId="29" r:id="rId14"/>
    <sheet name="BB madére" sheetId="28" r:id="rId15"/>
    <sheet name="BB coganc" sheetId="34" r:id="rId16"/>
    <sheet name="Modèle Portions en Grammes" sheetId="60" r:id="rId17"/>
    <sheet name="Formats-formules-pourcentages" sheetId="62" r:id="rId18"/>
    <sheet name="A Savoir" sheetId="53" r:id="rId19"/>
    <sheet name="Poids fruits et légumes" sheetId="18" r:id="rId20"/>
    <sheet name="Grammages GEMRCN" sheetId="52" r:id="rId21"/>
    <sheet name="Polices de Symboles" sheetId="22" r:id="rId22"/>
    <sheet name="D1- 75 lignes avec ORT" sheetId="6" r:id="rId23"/>
    <sheet name="Nota" sheetId="14" r:id="rId24"/>
    <sheet name="Mode d'emploi" sheetId="54" r:id="rId25"/>
  </sheets>
  <externalReferences>
    <externalReference r:id="rId26"/>
  </externalReferences>
  <definedNames>
    <definedName name="_xlnm._FilterDatabase" localSheetId="18" hidden="1">'A Savoir'!#REF!</definedName>
    <definedName name="_xlnm.Print_Titles" localSheetId="20">'Grammages GEMRCN'!$1:$3</definedName>
    <definedName name="_xlnm.Print_Area" localSheetId="10">'BB au cêpes'!$A$1:$H$28</definedName>
    <definedName name="_xlnm.Print_Area" localSheetId="15">'BB coganc'!$A$1:$H$28</definedName>
    <definedName name="_xlnm.Print_Area" localSheetId="12">'BB kirsch'!$A$1:$H$27</definedName>
    <definedName name="_xlnm.Print_Area" localSheetId="14">'BB madére'!$A$1:$H$47</definedName>
    <definedName name="_xlnm.Print_Area" localSheetId="11">'BB orange cointreau'!$A$1:$H$27</definedName>
    <definedName name="_xlnm.Print_Area" localSheetId="13">'BB porto'!$A$1:$H$27</definedName>
    <definedName name="_xlnm.Print_Area" localSheetId="9">'BB truffé'!$A$1:$H$48</definedName>
    <definedName name="_xlnm.Print_Area" localSheetId="4">'Boudin blanc d''Amélie'!$A$4:$S$56</definedName>
    <definedName name="_xlnm.Print_Area" localSheetId="1">'Boudin blanc SANS BOYAU'!$A$14:$Q$53</definedName>
    <definedName name="_xlnm.Print_Area" localSheetId="3">'boudin-blanc-ENSIA'!$A$52:$Q$91</definedName>
    <definedName name="_xlnm.Print_Area" localSheetId="20">'Grammages GEMRCN'!$A$1:$L$167</definedName>
    <definedName name="_xlnm.Print_Area" localSheetId="24">'Mode d''emploi'!$A$76:$O$91</definedName>
    <definedName name="_xlnm.Print_Area" localSheetId="16">'Modèle Portions en Grammes'!$A$5:$Q$44</definedName>
    <definedName name="_xlnm.Print_Area" localSheetId="2">'Patrick Georgin'!#REF!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98" i="63" l="1"/>
  <c r="K97" i="63"/>
  <c r="K96" i="63"/>
  <c r="K95" i="63"/>
  <c r="C95" i="63"/>
  <c r="K94" i="63"/>
  <c r="K93" i="63"/>
  <c r="G93" i="63"/>
  <c r="C93" i="63"/>
  <c r="D92" i="63" s="1"/>
  <c r="K92" i="63"/>
  <c r="E92" i="63"/>
  <c r="K91" i="63"/>
  <c r="D91" i="63"/>
  <c r="K90" i="63"/>
  <c r="E90" i="63"/>
  <c r="K89" i="63"/>
  <c r="D89" i="63"/>
  <c r="K88" i="63"/>
  <c r="E88" i="63"/>
  <c r="K87" i="63"/>
  <c r="D87" i="63"/>
  <c r="K86" i="63"/>
  <c r="E86" i="63"/>
  <c r="K85" i="63"/>
  <c r="D85" i="63"/>
  <c r="K84" i="63"/>
  <c r="E84" i="63"/>
  <c r="K83" i="63"/>
  <c r="D83" i="63"/>
  <c r="K82" i="63"/>
  <c r="E82" i="63"/>
  <c r="K81" i="63"/>
  <c r="D81" i="63"/>
  <c r="K80" i="63"/>
  <c r="E80" i="63"/>
  <c r="K79" i="63"/>
  <c r="D79" i="63"/>
  <c r="K78" i="63"/>
  <c r="E78" i="63"/>
  <c r="K77" i="63"/>
  <c r="D77" i="63"/>
  <c r="K76" i="63"/>
  <c r="E76" i="63"/>
  <c r="K75" i="63"/>
  <c r="D75" i="63"/>
  <c r="K74" i="63"/>
  <c r="E74" i="63"/>
  <c r="K73" i="63"/>
  <c r="D73" i="63"/>
  <c r="K72" i="63"/>
  <c r="E72" i="63"/>
  <c r="F72" i="63" s="1"/>
  <c r="H72" i="63" s="1"/>
  <c r="K71" i="63"/>
  <c r="D71" i="63"/>
  <c r="K70" i="63"/>
  <c r="E70" i="63"/>
  <c r="F70" i="63" s="1"/>
  <c r="H70" i="63" s="1"/>
  <c r="K69" i="63"/>
  <c r="D69" i="63"/>
  <c r="K68" i="63"/>
  <c r="E68" i="63"/>
  <c r="F68" i="63" s="1"/>
  <c r="H68" i="63" s="1"/>
  <c r="K67" i="63"/>
  <c r="D67" i="63"/>
  <c r="K66" i="63"/>
  <c r="E66" i="63"/>
  <c r="F66" i="63" s="1"/>
  <c r="H66" i="63" s="1"/>
  <c r="K65" i="63"/>
  <c r="D65" i="63"/>
  <c r="K64" i="63"/>
  <c r="E64" i="63"/>
  <c r="F64" i="63" s="1"/>
  <c r="H64" i="63" s="1"/>
  <c r="K63" i="63"/>
  <c r="D63" i="63"/>
  <c r="K62" i="63"/>
  <c r="K61" i="63"/>
  <c r="K60" i="63"/>
  <c r="K59" i="63"/>
  <c r="K58" i="63"/>
  <c r="C51" i="63"/>
  <c r="C49" i="63"/>
  <c r="E48" i="63" s="1"/>
  <c r="F48" i="63" s="1"/>
  <c r="H48" i="63" s="1"/>
  <c r="D48" i="63"/>
  <c r="D47" i="63"/>
  <c r="D46" i="63"/>
  <c r="D45" i="63"/>
  <c r="D44" i="63"/>
  <c r="D43" i="63"/>
  <c r="D42" i="63"/>
  <c r="D41" i="63"/>
  <c r="D40" i="63"/>
  <c r="D39" i="63"/>
  <c r="D38" i="63"/>
  <c r="D49" i="63" s="1"/>
  <c r="C26" i="63"/>
  <c r="D24" i="63"/>
  <c r="C24" i="63"/>
  <c r="E23" i="63"/>
  <c r="F23" i="63" s="1"/>
  <c r="H23" i="63" s="1"/>
  <c r="D23" i="63"/>
  <c r="E22" i="63"/>
  <c r="F22" i="63" s="1"/>
  <c r="H22" i="63" s="1"/>
  <c r="D22" i="63"/>
  <c r="E21" i="63"/>
  <c r="F21" i="63" s="1"/>
  <c r="H21" i="63" s="1"/>
  <c r="D21" i="63"/>
  <c r="E20" i="63"/>
  <c r="F20" i="63" s="1"/>
  <c r="H20" i="63" s="1"/>
  <c r="D20" i="63"/>
  <c r="E19" i="63"/>
  <c r="F19" i="63" s="1"/>
  <c r="H19" i="63" s="1"/>
  <c r="D19" i="63"/>
  <c r="E18" i="63"/>
  <c r="F18" i="63" s="1"/>
  <c r="H18" i="63" s="1"/>
  <c r="D18" i="63"/>
  <c r="E17" i="63"/>
  <c r="F17" i="63" s="1"/>
  <c r="H17" i="63" s="1"/>
  <c r="D17" i="63"/>
  <c r="E16" i="63"/>
  <c r="F16" i="63" s="1"/>
  <c r="H16" i="63" s="1"/>
  <c r="D16" i="63"/>
  <c r="E15" i="63"/>
  <c r="F15" i="63" s="1"/>
  <c r="H15" i="63" s="1"/>
  <c r="D15" i="63"/>
  <c r="E14" i="63"/>
  <c r="F14" i="63" s="1"/>
  <c r="H14" i="63" s="1"/>
  <c r="D14" i="63"/>
  <c r="E13" i="63"/>
  <c r="E24" i="63" s="1"/>
  <c r="D13" i="63"/>
  <c r="F80" i="63" l="1"/>
  <c r="H80" i="63" s="1"/>
  <c r="F88" i="63"/>
  <c r="H88" i="63" s="1"/>
  <c r="F13" i="63"/>
  <c r="E65" i="63"/>
  <c r="F65" i="63" s="1"/>
  <c r="H65" i="63" s="1"/>
  <c r="D66" i="63"/>
  <c r="E69" i="63"/>
  <c r="F69" i="63" s="1"/>
  <c r="H69" i="63" s="1"/>
  <c r="D70" i="63"/>
  <c r="E73" i="63"/>
  <c r="F73" i="63" s="1"/>
  <c r="H73" i="63" s="1"/>
  <c r="D74" i="63"/>
  <c r="E77" i="63"/>
  <c r="F77" i="63" s="1"/>
  <c r="H77" i="63" s="1"/>
  <c r="D78" i="63"/>
  <c r="E81" i="63"/>
  <c r="D82" i="63"/>
  <c r="E85" i="63"/>
  <c r="F85" i="63" s="1"/>
  <c r="H85" i="63" s="1"/>
  <c r="D86" i="63"/>
  <c r="E89" i="63"/>
  <c r="D90" i="63"/>
  <c r="E38" i="63"/>
  <c r="E39" i="63"/>
  <c r="F39" i="63" s="1"/>
  <c r="H39" i="63" s="1"/>
  <c r="E40" i="63"/>
  <c r="F40" i="63" s="1"/>
  <c r="H40" i="63" s="1"/>
  <c r="E41" i="63"/>
  <c r="F41" i="63" s="1"/>
  <c r="H41" i="63" s="1"/>
  <c r="E42" i="63"/>
  <c r="F42" i="63" s="1"/>
  <c r="H42" i="63" s="1"/>
  <c r="E43" i="63"/>
  <c r="F43" i="63" s="1"/>
  <c r="H43" i="63" s="1"/>
  <c r="E44" i="63"/>
  <c r="F44" i="63" s="1"/>
  <c r="H44" i="63" s="1"/>
  <c r="E45" i="63"/>
  <c r="F45" i="63" s="1"/>
  <c r="H45" i="63" s="1"/>
  <c r="E46" i="63"/>
  <c r="F46" i="63" s="1"/>
  <c r="H46" i="63" s="1"/>
  <c r="E47" i="63"/>
  <c r="F47" i="63" s="1"/>
  <c r="H47" i="63" s="1"/>
  <c r="E63" i="63"/>
  <c r="D64" i="63"/>
  <c r="E67" i="63"/>
  <c r="F67" i="63" s="1"/>
  <c r="H67" i="63" s="1"/>
  <c r="D68" i="63"/>
  <c r="D93" i="63" s="1"/>
  <c r="E71" i="63"/>
  <c r="F71" i="63" s="1"/>
  <c r="H71" i="63" s="1"/>
  <c r="D72" i="63"/>
  <c r="E75" i="63"/>
  <c r="D76" i="63"/>
  <c r="E79" i="63"/>
  <c r="D80" i="63"/>
  <c r="E83" i="63"/>
  <c r="F83" i="63" s="1"/>
  <c r="H83" i="63" s="1"/>
  <c r="D84" i="63"/>
  <c r="E87" i="63"/>
  <c r="D88" i="63"/>
  <c r="E91" i="63"/>
  <c r="L846" i="62"/>
  <c r="K846" i="62"/>
  <c r="L845" i="62"/>
  <c r="K845" i="62"/>
  <c r="L844" i="62"/>
  <c r="K844" i="62"/>
  <c r="L842" i="62"/>
  <c r="K842" i="62"/>
  <c r="L841" i="62"/>
  <c r="K841" i="62"/>
  <c r="L840" i="62"/>
  <c r="K840" i="62"/>
  <c r="L839" i="62"/>
  <c r="K839" i="62"/>
  <c r="K837" i="62"/>
  <c r="C826" i="62"/>
  <c r="K819" i="62"/>
  <c r="J819" i="62"/>
  <c r="I819" i="62"/>
  <c r="H819" i="62"/>
  <c r="G819" i="62"/>
  <c r="M818" i="62"/>
  <c r="K816" i="62"/>
  <c r="J816" i="62"/>
  <c r="I816" i="62"/>
  <c r="H816" i="62"/>
  <c r="G816" i="62"/>
  <c r="M815" i="62"/>
  <c r="K815" i="62"/>
  <c r="K818" i="62" s="1"/>
  <c r="J815" i="62"/>
  <c r="J818" i="62" s="1"/>
  <c r="I815" i="62"/>
  <c r="I818" i="62" s="1"/>
  <c r="H815" i="62"/>
  <c r="H818" i="62" s="1"/>
  <c r="G815" i="62"/>
  <c r="L815" i="62" s="1"/>
  <c r="L814" i="62"/>
  <c r="K808" i="62"/>
  <c r="J808" i="62"/>
  <c r="I808" i="62"/>
  <c r="H808" i="62"/>
  <c r="G808" i="62"/>
  <c r="L807" i="62"/>
  <c r="C790" i="62"/>
  <c r="K783" i="62"/>
  <c r="J783" i="62"/>
  <c r="I783" i="62"/>
  <c r="H783" i="62"/>
  <c r="G783" i="62"/>
  <c r="M782" i="62"/>
  <c r="K780" i="62"/>
  <c r="J780" i="62"/>
  <c r="I780" i="62"/>
  <c r="H780" i="62"/>
  <c r="G780" i="62"/>
  <c r="M779" i="62"/>
  <c r="K779" i="62"/>
  <c r="K782" i="62" s="1"/>
  <c r="J779" i="62"/>
  <c r="J782" i="62" s="1"/>
  <c r="I779" i="62"/>
  <c r="I782" i="62" s="1"/>
  <c r="H779" i="62"/>
  <c r="H782" i="62" s="1"/>
  <c r="G779" i="62"/>
  <c r="L779" i="62" s="1"/>
  <c r="L778" i="62"/>
  <c r="L777" i="62"/>
  <c r="I757" i="62"/>
  <c r="G757" i="62"/>
  <c r="I756" i="62"/>
  <c r="H756" i="62"/>
  <c r="H757" i="62" s="1"/>
  <c r="G756" i="62"/>
  <c r="F756" i="62"/>
  <c r="F757" i="62" s="1"/>
  <c r="J753" i="62"/>
  <c r="G740" i="62"/>
  <c r="G739" i="62"/>
  <c r="G738" i="62"/>
  <c r="G737" i="62"/>
  <c r="G736" i="62"/>
  <c r="G735" i="62"/>
  <c r="G734" i="62"/>
  <c r="G733" i="62"/>
  <c r="G732" i="62"/>
  <c r="G731" i="62"/>
  <c r="G730" i="62"/>
  <c r="G729" i="62"/>
  <c r="G726" i="62"/>
  <c r="M720" i="62"/>
  <c r="L720" i="62"/>
  <c r="J720" i="62"/>
  <c r="M719" i="62"/>
  <c r="L719" i="62"/>
  <c r="J719" i="62"/>
  <c r="L713" i="62"/>
  <c r="L712" i="62"/>
  <c r="D703" i="62"/>
  <c r="J703" i="62" s="1"/>
  <c r="I703" i="62" s="1"/>
  <c r="C703" i="62" s="1"/>
  <c r="J702" i="62"/>
  <c r="I702" i="62" s="1"/>
  <c r="C702" i="62" s="1"/>
  <c r="E702" i="62" s="1"/>
  <c r="D702" i="62"/>
  <c r="D701" i="62"/>
  <c r="J701" i="62" s="1"/>
  <c r="I701" i="62" s="1"/>
  <c r="C701" i="62" s="1"/>
  <c r="J700" i="62"/>
  <c r="I700" i="62" s="1"/>
  <c r="C700" i="62" s="1"/>
  <c r="E700" i="62" s="1"/>
  <c r="D700" i="62"/>
  <c r="D699" i="62"/>
  <c r="J699" i="62" s="1"/>
  <c r="I699" i="62" s="1"/>
  <c r="C699" i="62" s="1"/>
  <c r="G673" i="62"/>
  <c r="G671" i="62"/>
  <c r="G669" i="62"/>
  <c r="L667" i="62"/>
  <c r="K667" i="62"/>
  <c r="J667" i="62"/>
  <c r="I667" i="62"/>
  <c r="H667" i="62"/>
  <c r="G665" i="62"/>
  <c r="G664" i="62"/>
  <c r="G663" i="62"/>
  <c r="G662" i="62"/>
  <c r="G661" i="62"/>
  <c r="G658" i="62"/>
  <c r="J655" i="62"/>
  <c r="G655" i="62"/>
  <c r="C653" i="62"/>
  <c r="F646" i="62"/>
  <c r="G645" i="62"/>
  <c r="H645" i="62" s="1"/>
  <c r="K645" i="62" s="1"/>
  <c r="G643" i="62"/>
  <c r="H643" i="62" s="1"/>
  <c r="K643" i="62" s="1"/>
  <c r="G641" i="62"/>
  <c r="H641" i="62" s="1"/>
  <c r="K641" i="62" s="1"/>
  <c r="G639" i="62"/>
  <c r="H639" i="62" s="1"/>
  <c r="K639" i="62" s="1"/>
  <c r="G638" i="62"/>
  <c r="G642" i="62" s="1"/>
  <c r="H642" i="62" s="1"/>
  <c r="K642" i="62" s="1"/>
  <c r="G636" i="62"/>
  <c r="F601" i="62"/>
  <c r="H601" i="62" s="1"/>
  <c r="F600" i="62"/>
  <c r="H600" i="62" s="1"/>
  <c r="F599" i="62"/>
  <c r="H599" i="62" s="1"/>
  <c r="F598" i="62"/>
  <c r="H598" i="62" s="1"/>
  <c r="F597" i="62"/>
  <c r="H597" i="62" s="1"/>
  <c r="F596" i="62"/>
  <c r="H596" i="62" s="1"/>
  <c r="B595" i="62"/>
  <c r="E594" i="62" s="1"/>
  <c r="D594" i="62"/>
  <c r="G590" i="62"/>
  <c r="H590" i="62" s="1"/>
  <c r="H587" i="62"/>
  <c r="N580" i="62"/>
  <c r="M580" i="62"/>
  <c r="N577" i="62"/>
  <c r="M577" i="62"/>
  <c r="H577" i="62"/>
  <c r="H576" i="62"/>
  <c r="N570" i="62"/>
  <c r="N569" i="62"/>
  <c r="M573" i="62" s="1"/>
  <c r="N573" i="62" s="1"/>
  <c r="H569" i="62"/>
  <c r="H570" i="62" s="1"/>
  <c r="N568" i="62"/>
  <c r="L545" i="62"/>
  <c r="G545" i="62"/>
  <c r="E545" i="62"/>
  <c r="N544" i="62"/>
  <c r="N545" i="62" s="1"/>
  <c r="L544" i="62"/>
  <c r="J544" i="62"/>
  <c r="J545" i="62" s="1"/>
  <c r="G544" i="62"/>
  <c r="E544" i="62"/>
  <c r="C544" i="62"/>
  <c r="C545" i="62" s="1"/>
  <c r="N541" i="62"/>
  <c r="G541" i="62"/>
  <c r="G540" i="62" s="1"/>
  <c r="N540" i="62"/>
  <c r="L540" i="62"/>
  <c r="L541" i="62" s="1"/>
  <c r="J540" i="62"/>
  <c r="J541" i="62" s="1"/>
  <c r="E540" i="62"/>
  <c r="E541" i="62" s="1"/>
  <c r="C540" i="62"/>
  <c r="C541" i="62" s="1"/>
  <c r="G532" i="62"/>
  <c r="G531" i="62" s="1"/>
  <c r="J531" i="62"/>
  <c r="J532" i="62" s="1"/>
  <c r="D531" i="62"/>
  <c r="D532" i="62" s="1"/>
  <c r="G527" i="62"/>
  <c r="D527" i="62"/>
  <c r="J526" i="62"/>
  <c r="J527" i="62" s="1"/>
  <c r="G526" i="62"/>
  <c r="D526" i="62"/>
  <c r="K513" i="62"/>
  <c r="G513" i="62"/>
  <c r="B513" i="62"/>
  <c r="M510" i="62"/>
  <c r="K512" i="62" s="1"/>
  <c r="I510" i="62"/>
  <c r="G512" i="62" s="1"/>
  <c r="D510" i="62"/>
  <c r="B512" i="62" s="1"/>
  <c r="N509" i="62"/>
  <c r="J509" i="62"/>
  <c r="A503" i="62"/>
  <c r="B502" i="62"/>
  <c r="B498" i="62"/>
  <c r="F493" i="62"/>
  <c r="A477" i="62"/>
  <c r="B476" i="62"/>
  <c r="C469" i="62"/>
  <c r="M465" i="62"/>
  <c r="M468" i="62" s="1"/>
  <c r="J465" i="62"/>
  <c r="J468" i="62" s="1"/>
  <c r="I465" i="62"/>
  <c r="I468" i="62" s="1"/>
  <c r="N463" i="62"/>
  <c r="L465" i="62" s="1"/>
  <c r="L468" i="62" s="1"/>
  <c r="E462" i="62"/>
  <c r="E469" i="62" s="1"/>
  <c r="L441" i="62"/>
  <c r="K441" i="62"/>
  <c r="M440" i="62"/>
  <c r="K440" i="62"/>
  <c r="M439" i="62"/>
  <c r="L439" i="62"/>
  <c r="H431" i="62"/>
  <c r="G431" i="62"/>
  <c r="F431" i="62"/>
  <c r="G430" i="62"/>
  <c r="I430" i="62" s="1"/>
  <c r="F430" i="62"/>
  <c r="I429" i="62"/>
  <c r="H429" i="62"/>
  <c r="F429" i="62"/>
  <c r="H428" i="62"/>
  <c r="I428" i="62" s="1"/>
  <c r="G428" i="62"/>
  <c r="M418" i="62"/>
  <c r="N418" i="62" s="1"/>
  <c r="G418" i="62"/>
  <c r="F418" i="62"/>
  <c r="M417" i="62"/>
  <c r="N417" i="62" s="1"/>
  <c r="G417" i="62"/>
  <c r="F417" i="62"/>
  <c r="M416" i="62"/>
  <c r="N416" i="62" s="1"/>
  <c r="G416" i="62"/>
  <c r="F416" i="62"/>
  <c r="M415" i="62"/>
  <c r="N415" i="62" s="1"/>
  <c r="G415" i="62"/>
  <c r="F415" i="62"/>
  <c r="M414" i="62"/>
  <c r="N414" i="62" s="1"/>
  <c r="J414" i="62"/>
  <c r="F414" i="62"/>
  <c r="G414" i="62" s="1"/>
  <c r="C414" i="62"/>
  <c r="J386" i="62"/>
  <c r="H386" i="62"/>
  <c r="E361" i="62"/>
  <c r="I349" i="62"/>
  <c r="F349" i="62" s="1"/>
  <c r="H349" i="62"/>
  <c r="E349" i="62" s="1"/>
  <c r="G349" i="62"/>
  <c r="D349" i="62"/>
  <c r="C349" i="62"/>
  <c r="M347" i="62"/>
  <c r="C347" i="62"/>
  <c r="L345" i="62"/>
  <c r="I341" i="62"/>
  <c r="F341" i="62" s="1"/>
  <c r="H341" i="62"/>
  <c r="E341" i="62" s="1"/>
  <c r="G341" i="62"/>
  <c r="D341" i="62"/>
  <c r="C341" i="62"/>
  <c r="M341" i="62" s="1"/>
  <c r="J320" i="62"/>
  <c r="K313" i="62"/>
  <c r="K309" i="62"/>
  <c r="I309" i="62"/>
  <c r="M299" i="62"/>
  <c r="F297" i="62"/>
  <c r="M295" i="62"/>
  <c r="K291" i="62"/>
  <c r="M291" i="62" s="1"/>
  <c r="M277" i="62"/>
  <c r="K273" i="62"/>
  <c r="M273" i="62" s="1"/>
  <c r="E265" i="62"/>
  <c r="F265" i="62" s="1"/>
  <c r="I262" i="62"/>
  <c r="E262" i="62"/>
  <c r="F262" i="62" s="1"/>
  <c r="N260" i="62"/>
  <c r="F259" i="62"/>
  <c r="N258" i="62"/>
  <c r="F170" i="62"/>
  <c r="D170" i="62"/>
  <c r="D167" i="62"/>
  <c r="C119" i="62"/>
  <c r="C116" i="62"/>
  <c r="C113" i="62"/>
  <c r="D106" i="62"/>
  <c r="H104" i="62"/>
  <c r="E104" i="62"/>
  <c r="H102" i="62"/>
  <c r="E102" i="62"/>
  <c r="Q1" i="62"/>
  <c r="P1" i="62"/>
  <c r="O1" i="62"/>
  <c r="N1" i="62"/>
  <c r="M1" i="62"/>
  <c r="L1" i="62"/>
  <c r="K1" i="62"/>
  <c r="J1" i="62"/>
  <c r="I1" i="62"/>
  <c r="H1" i="62"/>
  <c r="G1" i="62"/>
  <c r="F1" i="62"/>
  <c r="E1" i="62"/>
  <c r="D1" i="62"/>
  <c r="C1" i="62"/>
  <c r="B1" i="62"/>
  <c r="A1" i="62"/>
  <c r="H13" i="63" l="1"/>
  <c r="H24" i="63" s="1"/>
  <c r="F24" i="63"/>
  <c r="E49" i="63"/>
  <c r="F38" i="63"/>
  <c r="F78" i="63"/>
  <c r="H78" i="63" s="1"/>
  <c r="F84" i="63"/>
  <c r="H84" i="63" s="1"/>
  <c r="F76" i="63"/>
  <c r="H76" i="63" s="1"/>
  <c r="F79" i="63"/>
  <c r="F63" i="63"/>
  <c r="E93" i="63"/>
  <c r="F89" i="63"/>
  <c r="H89" i="63" s="1"/>
  <c r="F81" i="63"/>
  <c r="F82" i="63"/>
  <c r="H82" i="63" s="1"/>
  <c r="I512" i="62"/>
  <c r="J512" i="62"/>
  <c r="H512" i="62"/>
  <c r="L349" i="62"/>
  <c r="M350" i="62" s="1"/>
  <c r="M512" i="62"/>
  <c r="N512" i="62"/>
  <c r="L512" i="62"/>
  <c r="N277" i="62"/>
  <c r="N273" i="62" s="1"/>
  <c r="L277" i="62" s="1"/>
  <c r="O840" i="62"/>
  <c r="J757" i="62"/>
  <c r="O839" i="62"/>
  <c r="D512" i="62"/>
  <c r="C512" i="62"/>
  <c r="E512" i="62"/>
  <c r="H595" i="62"/>
  <c r="J756" i="62"/>
  <c r="G640" i="62"/>
  <c r="H640" i="62" s="1"/>
  <c r="K640" i="62" s="1"/>
  <c r="G644" i="62"/>
  <c r="H644" i="62" s="1"/>
  <c r="K644" i="62" s="1"/>
  <c r="E701" i="62"/>
  <c r="M349" i="62"/>
  <c r="L341" i="62"/>
  <c r="M342" i="62" s="1"/>
  <c r="K465" i="62"/>
  <c r="K468" i="62" s="1"/>
  <c r="G782" i="62"/>
  <c r="L782" i="62" s="1"/>
  <c r="G818" i="62"/>
  <c r="L818" i="62" s="1"/>
  <c r="N839" i="62"/>
  <c r="N840" i="62"/>
  <c r="N841" i="62"/>
  <c r="O841" i="62" s="1"/>
  <c r="N842" i="62"/>
  <c r="O842" i="62" s="1"/>
  <c r="N844" i="62"/>
  <c r="O844" i="62" s="1"/>
  <c r="N845" i="62"/>
  <c r="O845" i="62" s="1"/>
  <c r="N846" i="62"/>
  <c r="O846" i="62" s="1"/>
  <c r="H465" i="62"/>
  <c r="H468" i="62" s="1"/>
  <c r="N468" i="62" s="1"/>
  <c r="E699" i="62"/>
  <c r="E703" i="62"/>
  <c r="U33" i="61"/>
  <c r="V111" i="61"/>
  <c r="S106" i="61"/>
  <c r="S105" i="61"/>
  <c r="S103" i="61"/>
  <c r="W101" i="61"/>
  <c r="W99" i="61"/>
  <c r="W96" i="61"/>
  <c r="W93" i="61"/>
  <c r="W91" i="61"/>
  <c r="W89" i="61"/>
  <c r="W86" i="61"/>
  <c r="W84" i="61"/>
  <c r="U83" i="61"/>
  <c r="T83" i="61"/>
  <c r="S83" i="61"/>
  <c r="W81" i="61"/>
  <c r="W77" i="61"/>
  <c r="W75" i="61"/>
  <c r="W74" i="61"/>
  <c r="AC73" i="61"/>
  <c r="AD73" i="61" s="1"/>
  <c r="AC72" i="61"/>
  <c r="AD72" i="61" s="1"/>
  <c r="AC71" i="61"/>
  <c r="AD71" i="61" s="1"/>
  <c r="AC70" i="61"/>
  <c r="AD70" i="61" s="1"/>
  <c r="AC69" i="61"/>
  <c r="AD69" i="61" s="1"/>
  <c r="Z69" i="61"/>
  <c r="W67" i="61"/>
  <c r="AC65" i="61"/>
  <c r="AD65" i="61" s="1"/>
  <c r="AC64" i="61"/>
  <c r="AD64" i="61" s="1"/>
  <c r="AC63" i="61"/>
  <c r="AD63" i="61" s="1"/>
  <c r="AC62" i="61"/>
  <c r="AD62" i="61" s="1"/>
  <c r="AC61" i="61"/>
  <c r="AD61" i="61" s="1"/>
  <c r="Z61" i="61"/>
  <c r="S59" i="61"/>
  <c r="AQ54" i="61"/>
  <c r="AP54" i="61"/>
  <c r="AM54" i="61"/>
  <c r="AL54" i="61"/>
  <c r="AI54" i="61"/>
  <c r="C54" i="61" s="1"/>
  <c r="AH54" i="61"/>
  <c r="B54" i="61" s="1"/>
  <c r="AC54" i="61"/>
  <c r="AD54" i="61" s="1"/>
  <c r="AE54" i="61" s="1"/>
  <c r="Z54" i="61"/>
  <c r="Y54" i="61"/>
  <c r="W54" i="61"/>
  <c r="G54" i="61"/>
  <c r="F54" i="61"/>
  <c r="E54" i="61"/>
  <c r="AQ53" i="61"/>
  <c r="AP53" i="61"/>
  <c r="AM53" i="61"/>
  <c r="AL53" i="61"/>
  <c r="AI53" i="61"/>
  <c r="C53" i="61" s="1"/>
  <c r="AH53" i="61"/>
  <c r="B53" i="61" s="1"/>
  <c r="AC53" i="61"/>
  <c r="AD53" i="61" s="1"/>
  <c r="AE53" i="61" s="1"/>
  <c r="Z53" i="61"/>
  <c r="Y53" i="61"/>
  <c r="W53" i="61"/>
  <c r="G53" i="61"/>
  <c r="F53" i="61"/>
  <c r="E53" i="61"/>
  <c r="AQ52" i="61"/>
  <c r="AP52" i="61"/>
  <c r="AM52" i="61"/>
  <c r="AL52" i="61"/>
  <c r="AI52" i="61"/>
  <c r="C52" i="61" s="1"/>
  <c r="AH52" i="61"/>
  <c r="AC52" i="61"/>
  <c r="AD52" i="61" s="1"/>
  <c r="AE52" i="61" s="1"/>
  <c r="Z52" i="61"/>
  <c r="Y52" i="61"/>
  <c r="W52" i="61"/>
  <c r="G52" i="61"/>
  <c r="F52" i="61"/>
  <c r="E52" i="61"/>
  <c r="B52" i="61"/>
  <c r="AQ51" i="61"/>
  <c r="AP51" i="61"/>
  <c r="AM51" i="61"/>
  <c r="AL51" i="61"/>
  <c r="AI51" i="61"/>
  <c r="C51" i="61" s="1"/>
  <c r="AH51" i="61"/>
  <c r="B51" i="61" s="1"/>
  <c r="AC51" i="61"/>
  <c r="AD51" i="61" s="1"/>
  <c r="AE51" i="61" s="1"/>
  <c r="Z51" i="61"/>
  <c r="Y51" i="61"/>
  <c r="W51" i="61"/>
  <c r="G51" i="61"/>
  <c r="F51" i="61"/>
  <c r="E51" i="61"/>
  <c r="AQ50" i="61"/>
  <c r="AP50" i="61"/>
  <c r="AM50" i="61"/>
  <c r="AL50" i="61"/>
  <c r="AI50" i="61"/>
  <c r="C50" i="61" s="1"/>
  <c r="AH50" i="61"/>
  <c r="B50" i="61" s="1"/>
  <c r="AC50" i="61"/>
  <c r="AD50" i="61" s="1"/>
  <c r="AE50" i="61" s="1"/>
  <c r="Z50" i="61"/>
  <c r="Y50" i="61"/>
  <c r="W50" i="61"/>
  <c r="G50" i="61"/>
  <c r="F50" i="61"/>
  <c r="E50" i="61"/>
  <c r="AQ49" i="61"/>
  <c r="AP49" i="61"/>
  <c r="AM49" i="61"/>
  <c r="AL49" i="61"/>
  <c r="AI49" i="61"/>
  <c r="C49" i="61" s="1"/>
  <c r="AH49" i="61"/>
  <c r="B49" i="61" s="1"/>
  <c r="AC49" i="61"/>
  <c r="AD49" i="61" s="1"/>
  <c r="AE49" i="61" s="1"/>
  <c r="Z49" i="61"/>
  <c r="Y49" i="61"/>
  <c r="W49" i="61"/>
  <c r="G49" i="61"/>
  <c r="F49" i="61"/>
  <c r="E49" i="61"/>
  <c r="AQ48" i="61"/>
  <c r="AP48" i="61"/>
  <c r="AM48" i="61"/>
  <c r="AL48" i="61"/>
  <c r="AI48" i="61"/>
  <c r="C48" i="61" s="1"/>
  <c r="AH48" i="61"/>
  <c r="B48" i="61" s="1"/>
  <c r="AC48" i="61"/>
  <c r="AD48" i="61" s="1"/>
  <c r="AE48" i="61" s="1"/>
  <c r="Z48" i="61"/>
  <c r="Y48" i="61"/>
  <c r="W48" i="61"/>
  <c r="G48" i="61"/>
  <c r="F48" i="61"/>
  <c r="E48" i="61"/>
  <c r="AQ47" i="61"/>
  <c r="AP47" i="61"/>
  <c r="AM47" i="61"/>
  <c r="AL47" i="61"/>
  <c r="AI47" i="61"/>
  <c r="C47" i="61" s="1"/>
  <c r="AH47" i="61"/>
  <c r="AC47" i="61"/>
  <c r="AD47" i="61" s="1"/>
  <c r="AE47" i="61" s="1"/>
  <c r="Z47" i="61"/>
  <c r="Y47" i="61"/>
  <c r="W47" i="61"/>
  <c r="G47" i="61"/>
  <c r="F47" i="61"/>
  <c r="E47" i="61"/>
  <c r="B47" i="61"/>
  <c r="AQ46" i="61"/>
  <c r="AP46" i="61"/>
  <c r="AM46" i="61"/>
  <c r="AL46" i="61"/>
  <c r="AI46" i="61"/>
  <c r="C46" i="61" s="1"/>
  <c r="AH46" i="61"/>
  <c r="AC46" i="61"/>
  <c r="AD46" i="61" s="1"/>
  <c r="AE46" i="61" s="1"/>
  <c r="Z46" i="61"/>
  <c r="Y46" i="61"/>
  <c r="W46" i="61"/>
  <c r="G46" i="61"/>
  <c r="F46" i="61"/>
  <c r="E46" i="61"/>
  <c r="B46" i="61"/>
  <c r="AQ45" i="61"/>
  <c r="AP45" i="61"/>
  <c r="AM45" i="61"/>
  <c r="AL45" i="61"/>
  <c r="AI45" i="61"/>
  <c r="C45" i="61" s="1"/>
  <c r="AH45" i="61"/>
  <c r="AC45" i="61"/>
  <c r="AD45" i="61" s="1"/>
  <c r="AE45" i="61" s="1"/>
  <c r="Z45" i="61"/>
  <c r="Y45" i="61"/>
  <c r="W45" i="61"/>
  <c r="G45" i="61"/>
  <c r="F45" i="61"/>
  <c r="E45" i="61"/>
  <c r="B45" i="61"/>
  <c r="AQ44" i="61"/>
  <c r="AP44" i="61"/>
  <c r="AM44" i="61"/>
  <c r="AL44" i="61"/>
  <c r="AI44" i="61"/>
  <c r="C44" i="61" s="1"/>
  <c r="AH44" i="61"/>
  <c r="AC44" i="61"/>
  <c r="AD44" i="61" s="1"/>
  <c r="AE44" i="61" s="1"/>
  <c r="Z44" i="61"/>
  <c r="Y44" i="61"/>
  <c r="W44" i="61"/>
  <c r="G44" i="61"/>
  <c r="F44" i="61"/>
  <c r="E44" i="61"/>
  <c r="B44" i="61"/>
  <c r="AQ43" i="61"/>
  <c r="AP43" i="61"/>
  <c r="AM43" i="61"/>
  <c r="AL43" i="61"/>
  <c r="AI43" i="61"/>
  <c r="C43" i="61" s="1"/>
  <c r="AH43" i="61"/>
  <c r="AC43" i="61"/>
  <c r="AD43" i="61" s="1"/>
  <c r="AE43" i="61" s="1"/>
  <c r="Z43" i="61"/>
  <c r="Y43" i="61"/>
  <c r="W43" i="61"/>
  <c r="G43" i="61"/>
  <c r="F43" i="61"/>
  <c r="E43" i="61"/>
  <c r="B43" i="61"/>
  <c r="AQ42" i="61"/>
  <c r="AP42" i="61"/>
  <c r="AM42" i="61"/>
  <c r="AL42" i="61"/>
  <c r="AI42" i="61"/>
  <c r="C42" i="61" s="1"/>
  <c r="AH42" i="61"/>
  <c r="AC42" i="61"/>
  <c r="AD42" i="61" s="1"/>
  <c r="AE42" i="61" s="1"/>
  <c r="Z42" i="61"/>
  <c r="Y42" i="61"/>
  <c r="W42" i="61"/>
  <c r="G42" i="61"/>
  <c r="F42" i="61"/>
  <c r="E42" i="61"/>
  <c r="B42" i="61"/>
  <c r="AQ41" i="61"/>
  <c r="AP41" i="61"/>
  <c r="AM41" i="61"/>
  <c r="AL41" i="61"/>
  <c r="AI41" i="61"/>
  <c r="C41" i="61" s="1"/>
  <c r="AH41" i="61"/>
  <c r="AC41" i="61"/>
  <c r="AD41" i="61" s="1"/>
  <c r="AE41" i="61" s="1"/>
  <c r="Z41" i="61"/>
  <c r="Y41" i="61"/>
  <c r="W41" i="61"/>
  <c r="G41" i="61"/>
  <c r="F41" i="61"/>
  <c r="E41" i="61"/>
  <c r="B41" i="61"/>
  <c r="AQ40" i="61"/>
  <c r="AP40" i="61"/>
  <c r="AM40" i="61"/>
  <c r="AL40" i="61"/>
  <c r="AI40" i="61"/>
  <c r="C40" i="61" s="1"/>
  <c r="AH40" i="61"/>
  <c r="AC40" i="61"/>
  <c r="AD40" i="61" s="1"/>
  <c r="AE40" i="61" s="1"/>
  <c r="Z40" i="61"/>
  <c r="Y40" i="61"/>
  <c r="W40" i="61"/>
  <c r="G40" i="61"/>
  <c r="F40" i="61"/>
  <c r="E40" i="61"/>
  <c r="B40" i="61"/>
  <c r="AQ39" i="61"/>
  <c r="AP39" i="61"/>
  <c r="AM39" i="61"/>
  <c r="AL39" i="61"/>
  <c r="AI39" i="61"/>
  <c r="C39" i="61" s="1"/>
  <c r="AH39" i="61"/>
  <c r="B39" i="61" s="1"/>
  <c r="AD39" i="61"/>
  <c r="AE39" i="61" s="1"/>
  <c r="AC39" i="61"/>
  <c r="Z39" i="61"/>
  <c r="Y39" i="61"/>
  <c r="W39" i="61"/>
  <c r="G39" i="61"/>
  <c r="F39" i="61"/>
  <c r="E39" i="61"/>
  <c r="AQ38" i="61"/>
  <c r="AP38" i="61"/>
  <c r="AM38" i="61"/>
  <c r="AL38" i="61"/>
  <c r="AI38" i="61"/>
  <c r="C38" i="61" s="1"/>
  <c r="AH38" i="61"/>
  <c r="B38" i="61" s="1"/>
  <c r="AC38" i="61"/>
  <c r="AD38" i="61" s="1"/>
  <c r="AE38" i="61" s="1"/>
  <c r="Z38" i="61"/>
  <c r="Y38" i="61"/>
  <c r="W38" i="61"/>
  <c r="G38" i="61"/>
  <c r="F38" i="61"/>
  <c r="E38" i="61"/>
  <c r="AQ37" i="61"/>
  <c r="AP37" i="61"/>
  <c r="AM37" i="61"/>
  <c r="AL37" i="61"/>
  <c r="AI37" i="61"/>
  <c r="C37" i="61" s="1"/>
  <c r="AH37" i="61"/>
  <c r="B37" i="61" s="1"/>
  <c r="AC37" i="61"/>
  <c r="AD37" i="61" s="1"/>
  <c r="AE37" i="61" s="1"/>
  <c r="Z37" i="61"/>
  <c r="Y37" i="61"/>
  <c r="W37" i="61"/>
  <c r="G37" i="61"/>
  <c r="F37" i="61"/>
  <c r="E37" i="61"/>
  <c r="AQ36" i="61"/>
  <c r="AP36" i="61"/>
  <c r="AM36" i="61"/>
  <c r="AL36" i="61"/>
  <c r="AI36" i="61"/>
  <c r="C36" i="61" s="1"/>
  <c r="AH36" i="61"/>
  <c r="B36" i="61" s="1"/>
  <c r="AC36" i="61"/>
  <c r="AD36" i="61" s="1"/>
  <c r="AE36" i="61" s="1"/>
  <c r="Z36" i="61"/>
  <c r="Y36" i="61"/>
  <c r="G36" i="61"/>
  <c r="F36" i="61"/>
  <c r="E36" i="61"/>
  <c r="AQ35" i="61"/>
  <c r="AP35" i="61"/>
  <c r="AM35" i="61"/>
  <c r="AL35" i="61"/>
  <c r="AI35" i="61"/>
  <c r="C35" i="61" s="1"/>
  <c r="AH35" i="61"/>
  <c r="B35" i="61" s="1"/>
  <c r="AC35" i="61"/>
  <c r="AD35" i="61" s="1"/>
  <c r="AE35" i="61" s="1"/>
  <c r="Z35" i="61"/>
  <c r="Y35" i="61"/>
  <c r="W35" i="61"/>
  <c r="G35" i="61"/>
  <c r="F35" i="61"/>
  <c r="E35" i="61"/>
  <c r="AQ34" i="61"/>
  <c r="AP34" i="61"/>
  <c r="AM34" i="61"/>
  <c r="AL34" i="61"/>
  <c r="AI34" i="61"/>
  <c r="C34" i="61" s="1"/>
  <c r="AH34" i="61"/>
  <c r="B34" i="61" s="1"/>
  <c r="AC34" i="61"/>
  <c r="AD34" i="61" s="1"/>
  <c r="AE34" i="61" s="1"/>
  <c r="Z34" i="61"/>
  <c r="Y34" i="61"/>
  <c r="G34" i="61"/>
  <c r="F34" i="61"/>
  <c r="E34" i="61"/>
  <c r="AQ33" i="61"/>
  <c r="AM33" i="61"/>
  <c r="AI33" i="61"/>
  <c r="C33" i="61" s="1"/>
  <c r="AH33" i="61"/>
  <c r="B33" i="61" s="1"/>
  <c r="AC33" i="61"/>
  <c r="AD33" i="61" s="1"/>
  <c r="AE33" i="61" s="1"/>
  <c r="Z33" i="61"/>
  <c r="G33" i="61"/>
  <c r="F33" i="61"/>
  <c r="E33" i="61"/>
  <c r="AQ32" i="61"/>
  <c r="AP32" i="61"/>
  <c r="AM32" i="61"/>
  <c r="AL32" i="61"/>
  <c r="AI32" i="61"/>
  <c r="C32" i="61" s="1"/>
  <c r="AH32" i="61"/>
  <c r="B32" i="61" s="1"/>
  <c r="AC32" i="61"/>
  <c r="AD32" i="61" s="1"/>
  <c r="AE32" i="61" s="1"/>
  <c r="Z32" i="61"/>
  <c r="Y32" i="61"/>
  <c r="G32" i="61"/>
  <c r="F32" i="61"/>
  <c r="E32" i="61"/>
  <c r="AQ31" i="61"/>
  <c r="AP31" i="61"/>
  <c r="AM31" i="61"/>
  <c r="AL31" i="61"/>
  <c r="AI31" i="61"/>
  <c r="C31" i="61" s="1"/>
  <c r="AH31" i="61"/>
  <c r="B31" i="61" s="1"/>
  <c r="AC31" i="61"/>
  <c r="AD31" i="61" s="1"/>
  <c r="AE31" i="61" s="1"/>
  <c r="Z31" i="61"/>
  <c r="Y31" i="61"/>
  <c r="G31" i="61"/>
  <c r="F31" i="61"/>
  <c r="E31" i="61"/>
  <c r="AQ30" i="61"/>
  <c r="AM30" i="61"/>
  <c r="AI30" i="61"/>
  <c r="C30" i="61" s="1"/>
  <c r="AC30" i="61"/>
  <c r="AD30" i="61" s="1"/>
  <c r="AE30" i="61" s="1"/>
  <c r="Z30" i="61"/>
  <c r="W30" i="61"/>
  <c r="G30" i="61"/>
  <c r="F30" i="61"/>
  <c r="E30" i="61"/>
  <c r="AQ29" i="61"/>
  <c r="AM29" i="61"/>
  <c r="AI29" i="61"/>
  <c r="C29" i="61" s="1"/>
  <c r="AC29" i="61"/>
  <c r="AD29" i="61" s="1"/>
  <c r="AE29" i="61" s="1"/>
  <c r="Z29" i="61"/>
  <c r="W29" i="61"/>
  <c r="G29" i="61"/>
  <c r="F29" i="61"/>
  <c r="E29" i="61"/>
  <c r="AQ28" i="61"/>
  <c r="AM28" i="61"/>
  <c r="AI28" i="61"/>
  <c r="C28" i="61" s="1"/>
  <c r="AC28" i="61"/>
  <c r="AD28" i="61" s="1"/>
  <c r="AE28" i="61" s="1"/>
  <c r="Z28" i="61"/>
  <c r="W28" i="61"/>
  <c r="G28" i="61"/>
  <c r="F28" i="61"/>
  <c r="E28" i="61"/>
  <c r="AQ27" i="61"/>
  <c r="AM27" i="61"/>
  <c r="AI27" i="61"/>
  <c r="C27" i="61" s="1"/>
  <c r="AC27" i="61"/>
  <c r="AD27" i="61" s="1"/>
  <c r="AE27" i="61" s="1"/>
  <c r="Z27" i="61"/>
  <c r="W27" i="61"/>
  <c r="G27" i="61"/>
  <c r="F27" i="61"/>
  <c r="E27" i="61"/>
  <c r="AQ26" i="61"/>
  <c r="AM26" i="61"/>
  <c r="AI26" i="61"/>
  <c r="C26" i="61" s="1"/>
  <c r="AC26" i="61"/>
  <c r="AD26" i="61" s="1"/>
  <c r="AE26" i="61" s="1"/>
  <c r="Z26" i="61"/>
  <c r="W26" i="61"/>
  <c r="G26" i="61"/>
  <c r="F26" i="61"/>
  <c r="E26" i="61"/>
  <c r="AQ25" i="61"/>
  <c r="AM25" i="61"/>
  <c r="AI25" i="61"/>
  <c r="C25" i="61" s="1"/>
  <c r="AC25" i="61"/>
  <c r="AD25" i="61" s="1"/>
  <c r="AE25" i="61" s="1"/>
  <c r="Z25" i="61"/>
  <c r="W25" i="61"/>
  <c r="G25" i="61"/>
  <c r="F25" i="61"/>
  <c r="E25" i="61"/>
  <c r="AQ24" i="61"/>
  <c r="AM24" i="61"/>
  <c r="AI24" i="61"/>
  <c r="C24" i="61" s="1"/>
  <c r="AC24" i="61"/>
  <c r="AD24" i="61" s="1"/>
  <c r="AE24" i="61" s="1"/>
  <c r="Z24" i="61"/>
  <c r="W24" i="61"/>
  <c r="G24" i="61"/>
  <c r="F24" i="61"/>
  <c r="E24" i="61"/>
  <c r="AQ23" i="61"/>
  <c r="AM23" i="61"/>
  <c r="AI23" i="61"/>
  <c r="C23" i="61" s="1"/>
  <c r="AC23" i="61"/>
  <c r="AD23" i="61" s="1"/>
  <c r="AE23" i="61" s="1"/>
  <c r="Z23" i="61"/>
  <c r="W23" i="61"/>
  <c r="G23" i="61"/>
  <c r="F23" i="61"/>
  <c r="E23" i="61"/>
  <c r="AQ22" i="61"/>
  <c r="AM22" i="61"/>
  <c r="AI22" i="61"/>
  <c r="C22" i="61" s="1"/>
  <c r="AC22" i="61"/>
  <c r="AD22" i="61" s="1"/>
  <c r="Z22" i="61"/>
  <c r="W22" i="61"/>
  <c r="O22" i="61"/>
  <c r="G22" i="61"/>
  <c r="F22" i="61"/>
  <c r="E22" i="61"/>
  <c r="P21" i="61"/>
  <c r="L21" i="61"/>
  <c r="AS20" i="61"/>
  <c r="AQ20" i="61"/>
  <c r="AM20" i="61"/>
  <c r="AL26" i="61" s="1"/>
  <c r="AI20" i="61"/>
  <c r="AH26" i="61" s="1"/>
  <c r="B26" i="61" s="1"/>
  <c r="C20" i="61"/>
  <c r="P19" i="61"/>
  <c r="W105" i="61" s="1"/>
  <c r="E19" i="61"/>
  <c r="B18" i="61"/>
  <c r="O17" i="61"/>
  <c r="O16" i="61"/>
  <c r="J16" i="61"/>
  <c r="E16" i="61"/>
  <c r="B16" i="61"/>
  <c r="K15" i="61"/>
  <c r="C15" i="61"/>
  <c r="AB14" i="61"/>
  <c r="P14" i="61"/>
  <c r="J14" i="61"/>
  <c r="H14" i="61"/>
  <c r="B14" i="61"/>
  <c r="V102" i="60"/>
  <c r="S97" i="60"/>
  <c r="S96" i="60"/>
  <c r="S94" i="60"/>
  <c r="W92" i="60"/>
  <c r="W90" i="60"/>
  <c r="W87" i="60"/>
  <c r="W84" i="60"/>
  <c r="W82" i="60"/>
  <c r="W80" i="60"/>
  <c r="W77" i="60"/>
  <c r="W75" i="60"/>
  <c r="U74" i="60"/>
  <c r="T74" i="60"/>
  <c r="S74" i="60"/>
  <c r="W72" i="60"/>
  <c r="W68" i="60"/>
  <c r="W66" i="60"/>
  <c r="W65" i="60"/>
  <c r="AD64" i="60"/>
  <c r="AC64" i="60"/>
  <c r="AC63" i="60"/>
  <c r="AD63" i="60" s="1"/>
  <c r="AD62" i="60"/>
  <c r="AC62" i="60"/>
  <c r="AC61" i="60"/>
  <c r="AD61" i="60" s="1"/>
  <c r="AD60" i="60"/>
  <c r="AC60" i="60"/>
  <c r="Z60" i="60"/>
  <c r="W58" i="60"/>
  <c r="AD56" i="60"/>
  <c r="AC56" i="60"/>
  <c r="AC55" i="60"/>
  <c r="AD55" i="60" s="1"/>
  <c r="AD54" i="60"/>
  <c r="AC54" i="60"/>
  <c r="AC53" i="60"/>
  <c r="AD53" i="60" s="1"/>
  <c r="AD52" i="60"/>
  <c r="AC52" i="60"/>
  <c r="Z52" i="60"/>
  <c r="S50" i="60"/>
  <c r="AX48" i="60"/>
  <c r="AX47" i="60"/>
  <c r="AX46" i="60"/>
  <c r="U46" i="60"/>
  <c r="AX45" i="60"/>
  <c r="AQ45" i="60"/>
  <c r="AP45" i="60"/>
  <c r="AM45" i="60"/>
  <c r="AL45" i="60"/>
  <c r="AI45" i="60"/>
  <c r="AH45" i="60"/>
  <c r="AE45" i="60"/>
  <c r="AD45" i="60"/>
  <c r="AC45" i="60"/>
  <c r="Z45" i="60"/>
  <c r="Y45" i="60"/>
  <c r="W45" i="60"/>
  <c r="AK45" i="60" s="1"/>
  <c r="AJ45" i="60" s="1"/>
  <c r="G45" i="60"/>
  <c r="F45" i="60"/>
  <c r="E45" i="60"/>
  <c r="C45" i="60"/>
  <c r="B45" i="60"/>
  <c r="AX44" i="60"/>
  <c r="AQ44" i="60"/>
  <c r="AP44" i="60"/>
  <c r="AM44" i="60"/>
  <c r="AL44" i="60"/>
  <c r="AI44" i="60"/>
  <c r="C44" i="60" s="1"/>
  <c r="AH44" i="60"/>
  <c r="B44" i="60" s="1"/>
  <c r="AC44" i="60"/>
  <c r="AD44" i="60" s="1"/>
  <c r="AE44" i="60" s="1"/>
  <c r="Z44" i="60"/>
  <c r="Y44" i="60"/>
  <c r="W44" i="60"/>
  <c r="G44" i="60"/>
  <c r="F44" i="60"/>
  <c r="E44" i="60"/>
  <c r="AX43" i="60"/>
  <c r="AQ43" i="60"/>
  <c r="AP43" i="60"/>
  <c r="AM43" i="60"/>
  <c r="AL43" i="60"/>
  <c r="AI43" i="60"/>
  <c r="AH43" i="60"/>
  <c r="AE43" i="60"/>
  <c r="AD43" i="60"/>
  <c r="AC43" i="60"/>
  <c r="Z43" i="60"/>
  <c r="Y43" i="60"/>
  <c r="W43" i="60"/>
  <c r="G43" i="60"/>
  <c r="F43" i="60"/>
  <c r="E43" i="60"/>
  <c r="C43" i="60"/>
  <c r="B43" i="60"/>
  <c r="AX42" i="60"/>
  <c r="AQ42" i="60"/>
  <c r="AP42" i="60"/>
  <c r="AM42" i="60"/>
  <c r="AL42" i="60"/>
  <c r="AI42" i="60"/>
  <c r="AH42" i="60"/>
  <c r="B42" i="60" s="1"/>
  <c r="AC42" i="60"/>
  <c r="AD42" i="60" s="1"/>
  <c r="AE42" i="60" s="1"/>
  <c r="Z42" i="60"/>
  <c r="Y42" i="60"/>
  <c r="W42" i="60"/>
  <c r="AK42" i="60" s="1"/>
  <c r="G42" i="60"/>
  <c r="F42" i="60"/>
  <c r="E42" i="60"/>
  <c r="C42" i="60"/>
  <c r="AX41" i="60"/>
  <c r="AQ41" i="60"/>
  <c r="AP41" i="60"/>
  <c r="AM41" i="60"/>
  <c r="AL41" i="60"/>
  <c r="AI41" i="60"/>
  <c r="AH41" i="60"/>
  <c r="AE41" i="60"/>
  <c r="AD41" i="60"/>
  <c r="AC41" i="60"/>
  <c r="Z41" i="60"/>
  <c r="Y41" i="60"/>
  <c r="W41" i="60"/>
  <c r="G41" i="60"/>
  <c r="F41" i="60"/>
  <c r="E41" i="60"/>
  <c r="C41" i="60"/>
  <c r="B41" i="60"/>
  <c r="AX40" i="60"/>
  <c r="AQ40" i="60"/>
  <c r="AP40" i="60"/>
  <c r="AM40" i="60"/>
  <c r="AL40" i="60"/>
  <c r="AI40" i="60"/>
  <c r="AH40" i="60"/>
  <c r="B40" i="60" s="1"/>
  <c r="AC40" i="60"/>
  <c r="AD40" i="60" s="1"/>
  <c r="AE40" i="60" s="1"/>
  <c r="Z40" i="60"/>
  <c r="Y40" i="60"/>
  <c r="W40" i="60"/>
  <c r="AK40" i="60" s="1"/>
  <c r="G40" i="60"/>
  <c r="F40" i="60"/>
  <c r="E40" i="60"/>
  <c r="C40" i="60"/>
  <c r="AX39" i="60"/>
  <c r="AQ39" i="60"/>
  <c r="AP39" i="60"/>
  <c r="AM39" i="60"/>
  <c r="AL39" i="60"/>
  <c r="AI39" i="60"/>
  <c r="AH39" i="60"/>
  <c r="AE39" i="60"/>
  <c r="AD39" i="60"/>
  <c r="AC39" i="60"/>
  <c r="Z39" i="60"/>
  <c r="Y39" i="60"/>
  <c r="W39" i="60"/>
  <c r="G39" i="60"/>
  <c r="F39" i="60"/>
  <c r="E39" i="60"/>
  <c r="C39" i="60"/>
  <c r="B39" i="60"/>
  <c r="AX38" i="60"/>
  <c r="AQ38" i="60"/>
  <c r="AP38" i="60"/>
  <c r="AM38" i="60"/>
  <c r="AL38" i="60"/>
  <c r="AI38" i="60"/>
  <c r="AH38" i="60"/>
  <c r="B38" i="60" s="1"/>
  <c r="AC38" i="60"/>
  <c r="AD38" i="60" s="1"/>
  <c r="AE38" i="60" s="1"/>
  <c r="Z38" i="60"/>
  <c r="Y38" i="60"/>
  <c r="W38" i="60"/>
  <c r="AK38" i="60" s="1"/>
  <c r="G38" i="60"/>
  <c r="F38" i="60"/>
  <c r="E38" i="60"/>
  <c r="C38" i="60"/>
  <c r="AX37" i="60"/>
  <c r="AQ37" i="60"/>
  <c r="AP37" i="60"/>
  <c r="AM37" i="60"/>
  <c r="AL37" i="60"/>
  <c r="AI37" i="60"/>
  <c r="AH37" i="60"/>
  <c r="AE37" i="60"/>
  <c r="AD37" i="60"/>
  <c r="AC37" i="60"/>
  <c r="Z37" i="60"/>
  <c r="Y37" i="60"/>
  <c r="W37" i="60"/>
  <c r="G37" i="60"/>
  <c r="F37" i="60"/>
  <c r="E37" i="60"/>
  <c r="C37" i="60"/>
  <c r="B37" i="60"/>
  <c r="AX36" i="60"/>
  <c r="AQ36" i="60"/>
  <c r="AP36" i="60"/>
  <c r="AM36" i="60"/>
  <c r="AL36" i="60"/>
  <c r="AI36" i="60"/>
  <c r="C36" i="60" s="1"/>
  <c r="AH36" i="60"/>
  <c r="B36" i="60" s="1"/>
  <c r="AC36" i="60"/>
  <c r="AD36" i="60" s="1"/>
  <c r="AE36" i="60" s="1"/>
  <c r="Z36" i="60"/>
  <c r="Y36" i="60"/>
  <c r="W36" i="60"/>
  <c r="AK36" i="60" s="1"/>
  <c r="G36" i="60"/>
  <c r="F36" i="60"/>
  <c r="E36" i="60"/>
  <c r="AX35" i="60"/>
  <c r="AQ35" i="60"/>
  <c r="AP35" i="60"/>
  <c r="AM35" i="60"/>
  <c r="AL35" i="60"/>
  <c r="AI35" i="60"/>
  <c r="AH35" i="60"/>
  <c r="AE35" i="60"/>
  <c r="AD35" i="60"/>
  <c r="AC35" i="60"/>
  <c r="Z35" i="60"/>
  <c r="Y35" i="60"/>
  <c r="W35" i="60"/>
  <c r="G35" i="60"/>
  <c r="F35" i="60"/>
  <c r="E35" i="60"/>
  <c r="C35" i="60"/>
  <c r="B35" i="60"/>
  <c r="AX34" i="60"/>
  <c r="AQ34" i="60"/>
  <c r="AP34" i="60"/>
  <c r="AM34" i="60"/>
  <c r="AL34" i="60"/>
  <c r="AI34" i="60"/>
  <c r="C34" i="60" s="1"/>
  <c r="AH34" i="60"/>
  <c r="B34" i="60" s="1"/>
  <c r="AC34" i="60"/>
  <c r="AD34" i="60" s="1"/>
  <c r="AE34" i="60" s="1"/>
  <c r="Z34" i="60"/>
  <c r="Y34" i="60"/>
  <c r="W34" i="60"/>
  <c r="G34" i="60"/>
  <c r="F34" i="60"/>
  <c r="E34" i="60"/>
  <c r="AX33" i="60"/>
  <c r="AQ33" i="60"/>
  <c r="AP33" i="60"/>
  <c r="AM33" i="60"/>
  <c r="AL33" i="60"/>
  <c r="AI33" i="60"/>
  <c r="C33" i="60" s="1"/>
  <c r="AH33" i="60"/>
  <c r="AD33" i="60"/>
  <c r="AE33" i="60" s="1"/>
  <c r="AC33" i="60"/>
  <c r="Z33" i="60"/>
  <c r="Y33" i="60"/>
  <c r="W33" i="60"/>
  <c r="G33" i="60"/>
  <c r="F33" i="60"/>
  <c r="E33" i="60"/>
  <c r="B33" i="60"/>
  <c r="AX32" i="60"/>
  <c r="AQ32" i="60"/>
  <c r="AP32" i="60"/>
  <c r="AM32" i="60"/>
  <c r="AL32" i="60"/>
  <c r="AI32" i="60"/>
  <c r="AH32" i="60"/>
  <c r="B32" i="60" s="1"/>
  <c r="AC32" i="60"/>
  <c r="AD32" i="60" s="1"/>
  <c r="AE32" i="60" s="1"/>
  <c r="Z32" i="60"/>
  <c r="Y32" i="60"/>
  <c r="W32" i="60"/>
  <c r="G32" i="60"/>
  <c r="F32" i="60"/>
  <c r="E32" i="60"/>
  <c r="C32" i="60"/>
  <c r="AX31" i="60"/>
  <c r="AQ31" i="60"/>
  <c r="AP31" i="60"/>
  <c r="AM31" i="60"/>
  <c r="AL31" i="60"/>
  <c r="AI31" i="60"/>
  <c r="C31" i="60" s="1"/>
  <c r="AH31" i="60"/>
  <c r="AD31" i="60"/>
  <c r="AE31" i="60" s="1"/>
  <c r="AC31" i="60"/>
  <c r="Z31" i="60"/>
  <c r="Y31" i="60"/>
  <c r="W31" i="60"/>
  <c r="G31" i="60"/>
  <c r="F31" i="60"/>
  <c r="E31" i="60"/>
  <c r="B31" i="60"/>
  <c r="AX30" i="60"/>
  <c r="AQ30" i="60"/>
  <c r="AP30" i="60"/>
  <c r="AM30" i="60"/>
  <c r="AL30" i="60"/>
  <c r="AI30" i="60"/>
  <c r="AH30" i="60"/>
  <c r="B30" i="60" s="1"/>
  <c r="AC30" i="60"/>
  <c r="AD30" i="60" s="1"/>
  <c r="AE30" i="60" s="1"/>
  <c r="Z30" i="60"/>
  <c r="Y30" i="60"/>
  <c r="W30" i="60"/>
  <c r="AK30" i="60" s="1"/>
  <c r="G30" i="60"/>
  <c r="F30" i="60"/>
  <c r="E30" i="60"/>
  <c r="C30" i="60"/>
  <c r="AX29" i="60"/>
  <c r="AQ29" i="60"/>
  <c r="AP29" i="60"/>
  <c r="AM29" i="60"/>
  <c r="AL29" i="60"/>
  <c r="AI29" i="60"/>
  <c r="AH29" i="60"/>
  <c r="AD29" i="60"/>
  <c r="AE29" i="60" s="1"/>
  <c r="AC29" i="60"/>
  <c r="Z29" i="60"/>
  <c r="Y29" i="60"/>
  <c r="W29" i="60"/>
  <c r="AK29" i="60" s="1"/>
  <c r="AJ29" i="60" s="1"/>
  <c r="G29" i="60"/>
  <c r="F29" i="60"/>
  <c r="E29" i="60"/>
  <c r="C29" i="60"/>
  <c r="B29" i="60"/>
  <c r="AX28" i="60"/>
  <c r="AQ28" i="60"/>
  <c r="AP28" i="60"/>
  <c r="AM28" i="60"/>
  <c r="AL28" i="60"/>
  <c r="AK28" i="60"/>
  <c r="AI28" i="60"/>
  <c r="AH28" i="60"/>
  <c r="B28" i="60" s="1"/>
  <c r="AC28" i="60"/>
  <c r="AD28" i="60" s="1"/>
  <c r="AE28" i="60" s="1"/>
  <c r="Z28" i="60"/>
  <c r="Y28" i="60"/>
  <c r="W28" i="60"/>
  <c r="G28" i="60"/>
  <c r="F28" i="60"/>
  <c r="E28" i="60"/>
  <c r="C28" i="60"/>
  <c r="AX27" i="60"/>
  <c r="AQ27" i="60"/>
  <c r="AP27" i="60"/>
  <c r="AM27" i="60"/>
  <c r="AL27" i="60"/>
  <c r="AI27" i="60"/>
  <c r="C27" i="60" s="1"/>
  <c r="AH27" i="60"/>
  <c r="AE27" i="60"/>
  <c r="AD27" i="60"/>
  <c r="AC27" i="60"/>
  <c r="Z27" i="60"/>
  <c r="Y27" i="60"/>
  <c r="W27" i="60"/>
  <c r="G27" i="60"/>
  <c r="F27" i="60"/>
  <c r="E27" i="60"/>
  <c r="B27" i="60"/>
  <c r="AX26" i="60"/>
  <c r="AQ26" i="60"/>
  <c r="AP26" i="60"/>
  <c r="AM26" i="60"/>
  <c r="AL26" i="60"/>
  <c r="AI26" i="60"/>
  <c r="AH26" i="60"/>
  <c r="B26" i="60" s="1"/>
  <c r="AG26" i="60"/>
  <c r="D26" i="60" s="1"/>
  <c r="AC26" i="60"/>
  <c r="AD26" i="60" s="1"/>
  <c r="AE26" i="60" s="1"/>
  <c r="Z26" i="60"/>
  <c r="Y26" i="60"/>
  <c r="W26" i="60"/>
  <c r="AK26" i="60" s="1"/>
  <c r="G26" i="60"/>
  <c r="F26" i="60"/>
  <c r="E26" i="60"/>
  <c r="C26" i="60"/>
  <c r="AX25" i="60"/>
  <c r="AQ25" i="60"/>
  <c r="AP25" i="60"/>
  <c r="AM25" i="60"/>
  <c r="AL25" i="60"/>
  <c r="AI25" i="60"/>
  <c r="C25" i="60" s="1"/>
  <c r="AH25" i="60"/>
  <c r="AD25" i="60"/>
  <c r="AE25" i="60" s="1"/>
  <c r="AC25" i="60"/>
  <c r="Z25" i="60"/>
  <c r="Y25" i="60"/>
  <c r="W25" i="60"/>
  <c r="G25" i="60"/>
  <c r="F25" i="60"/>
  <c r="E25" i="60"/>
  <c r="B25" i="60"/>
  <c r="AX24" i="60"/>
  <c r="AQ24" i="60"/>
  <c r="AP24" i="60"/>
  <c r="AM24" i="60"/>
  <c r="AL24" i="60"/>
  <c r="AI24" i="60"/>
  <c r="AH24" i="60"/>
  <c r="B24" i="60" s="1"/>
  <c r="AC24" i="60"/>
  <c r="AD24" i="60" s="1"/>
  <c r="AE24" i="60" s="1"/>
  <c r="Z24" i="60"/>
  <c r="Y24" i="60"/>
  <c r="W24" i="60"/>
  <c r="G24" i="60"/>
  <c r="F24" i="60"/>
  <c r="E24" i="60"/>
  <c r="C24" i="60"/>
  <c r="AX23" i="60"/>
  <c r="AQ23" i="60"/>
  <c r="AP23" i="60"/>
  <c r="AM23" i="60"/>
  <c r="AL23" i="60"/>
  <c r="AI23" i="60"/>
  <c r="C23" i="60" s="1"/>
  <c r="AH23" i="60"/>
  <c r="B23" i="60" s="1"/>
  <c r="AC23" i="60"/>
  <c r="AD23" i="60" s="1"/>
  <c r="AE23" i="60" s="1"/>
  <c r="Z23" i="60"/>
  <c r="Y23" i="60"/>
  <c r="W23" i="60"/>
  <c r="AK23" i="60" s="1"/>
  <c r="G23" i="60"/>
  <c r="F23" i="60"/>
  <c r="E23" i="60"/>
  <c r="AX22" i="60"/>
  <c r="AQ22" i="60"/>
  <c r="AP22" i="60"/>
  <c r="AM22" i="60"/>
  <c r="AL22" i="60"/>
  <c r="AI22" i="60"/>
  <c r="AH22" i="60"/>
  <c r="B22" i="60" s="1"/>
  <c r="AC22" i="60"/>
  <c r="AD22" i="60" s="1"/>
  <c r="AE22" i="60" s="1"/>
  <c r="Z22" i="60"/>
  <c r="Y22" i="60"/>
  <c r="W22" i="60"/>
  <c r="AK22" i="60" s="1"/>
  <c r="G22" i="60"/>
  <c r="F22" i="60"/>
  <c r="E22" i="60"/>
  <c r="C22" i="60"/>
  <c r="AX21" i="60"/>
  <c r="AQ21" i="60"/>
  <c r="AP21" i="60"/>
  <c r="AM21" i="60"/>
  <c r="AL21" i="60"/>
  <c r="AI21" i="60"/>
  <c r="C21" i="60" s="1"/>
  <c r="AH21" i="60"/>
  <c r="B21" i="60" s="1"/>
  <c r="AC21" i="60"/>
  <c r="AD21" i="60" s="1"/>
  <c r="AE21" i="60" s="1"/>
  <c r="Z21" i="60"/>
  <c r="Y21" i="60"/>
  <c r="W21" i="60"/>
  <c r="AK21" i="60" s="1"/>
  <c r="G21" i="60"/>
  <c r="F21" i="60"/>
  <c r="E21" i="60"/>
  <c r="AX20" i="60"/>
  <c r="AQ20" i="60"/>
  <c r="AP20" i="60"/>
  <c r="AM20" i="60"/>
  <c r="AL20" i="60"/>
  <c r="AI20" i="60"/>
  <c r="AH20" i="60"/>
  <c r="B20" i="60" s="1"/>
  <c r="AC20" i="60"/>
  <c r="AD20" i="60" s="1"/>
  <c r="AE20" i="60" s="1"/>
  <c r="Z20" i="60"/>
  <c r="Y20" i="60"/>
  <c r="W20" i="60"/>
  <c r="AK20" i="60" s="1"/>
  <c r="G20" i="60"/>
  <c r="F20" i="60"/>
  <c r="E20" i="60"/>
  <c r="C20" i="60"/>
  <c r="AX19" i="60"/>
  <c r="AQ19" i="60"/>
  <c r="AP19" i="60"/>
  <c r="AM19" i="60"/>
  <c r="AL19" i="60"/>
  <c r="AI19" i="60"/>
  <c r="C19" i="60" s="1"/>
  <c r="AH19" i="60"/>
  <c r="B19" i="60" s="1"/>
  <c r="AC19" i="60"/>
  <c r="AD19" i="60" s="1"/>
  <c r="AE19" i="60" s="1"/>
  <c r="Z19" i="60"/>
  <c r="Y19" i="60"/>
  <c r="W19" i="60"/>
  <c r="AK19" i="60" s="1"/>
  <c r="G19" i="60"/>
  <c r="F19" i="60"/>
  <c r="E19" i="60"/>
  <c r="AX18" i="60"/>
  <c r="AQ18" i="60"/>
  <c r="AP18" i="60"/>
  <c r="AM18" i="60"/>
  <c r="AL18" i="60"/>
  <c r="AI18" i="60"/>
  <c r="AH18" i="60"/>
  <c r="B18" i="60" s="1"/>
  <c r="AC18" i="60"/>
  <c r="AD18" i="60" s="1"/>
  <c r="AE18" i="60" s="1"/>
  <c r="Z18" i="60"/>
  <c r="Y18" i="60"/>
  <c r="W18" i="60"/>
  <c r="AK18" i="60" s="1"/>
  <c r="G18" i="60"/>
  <c r="F18" i="60"/>
  <c r="E18" i="60"/>
  <c r="C18" i="60"/>
  <c r="AX17" i="60"/>
  <c r="AQ17" i="60"/>
  <c r="AM17" i="60"/>
  <c r="AL17" i="60"/>
  <c r="AI17" i="60"/>
  <c r="C17" i="60" s="1"/>
  <c r="AH17" i="60"/>
  <c r="B17" i="60" s="1"/>
  <c r="AC17" i="60"/>
  <c r="AD17" i="60" s="1"/>
  <c r="AE17" i="60" s="1"/>
  <c r="Z17" i="60"/>
  <c r="W17" i="60"/>
  <c r="AK17" i="60" s="1"/>
  <c r="G17" i="60"/>
  <c r="F17" i="60"/>
  <c r="E17" i="60"/>
  <c r="AX16" i="60"/>
  <c r="AQ16" i="60"/>
  <c r="AP16" i="60"/>
  <c r="AM16" i="60"/>
  <c r="AL16" i="60"/>
  <c r="AI16" i="60"/>
  <c r="AH16" i="60"/>
  <c r="B16" i="60" s="1"/>
  <c r="AC16" i="60"/>
  <c r="AD16" i="60" s="1"/>
  <c r="AE16" i="60" s="1"/>
  <c r="Z16" i="60"/>
  <c r="Y16" i="60"/>
  <c r="W16" i="60"/>
  <c r="AK16" i="60" s="1"/>
  <c r="G16" i="60"/>
  <c r="F16" i="60"/>
  <c r="E16" i="60"/>
  <c r="C16" i="60"/>
  <c r="AX15" i="60"/>
  <c r="AQ15" i="60"/>
  <c r="AM15" i="60"/>
  <c r="AL15" i="60"/>
  <c r="AI15" i="60"/>
  <c r="C15" i="60" s="1"/>
  <c r="AH15" i="60"/>
  <c r="B15" i="60" s="1"/>
  <c r="AC15" i="60"/>
  <c r="AD15" i="60" s="1"/>
  <c r="AE15" i="60" s="1"/>
  <c r="Z15" i="60"/>
  <c r="W15" i="60"/>
  <c r="AK15" i="60" s="1"/>
  <c r="G15" i="60"/>
  <c r="F15" i="60"/>
  <c r="E15" i="60"/>
  <c r="AX14" i="60"/>
  <c r="AQ14" i="60"/>
  <c r="AP14" i="60"/>
  <c r="AM14" i="60"/>
  <c r="AL14" i="60"/>
  <c r="AI14" i="60"/>
  <c r="AH14" i="60"/>
  <c r="B14" i="60" s="1"/>
  <c r="AC14" i="60"/>
  <c r="AD14" i="60" s="1"/>
  <c r="AE14" i="60" s="1"/>
  <c r="Z14" i="60"/>
  <c r="Y14" i="60"/>
  <c r="W14" i="60"/>
  <c r="G14" i="60"/>
  <c r="F14" i="60"/>
  <c r="E14" i="60"/>
  <c r="C14" i="60"/>
  <c r="AX13" i="60"/>
  <c r="AQ13" i="60"/>
  <c r="AM13" i="60"/>
  <c r="AL13" i="60"/>
  <c r="AI13" i="60"/>
  <c r="AH13" i="60"/>
  <c r="B13" i="60" s="1"/>
  <c r="AC13" i="60"/>
  <c r="AD13" i="60" s="1"/>
  <c r="Z13" i="60"/>
  <c r="W13" i="60"/>
  <c r="O13" i="60"/>
  <c r="G13" i="60"/>
  <c r="F13" i="60"/>
  <c r="E13" i="60"/>
  <c r="C13" i="60"/>
  <c r="AX12" i="60"/>
  <c r="P12" i="60"/>
  <c r="L12" i="60"/>
  <c r="AX11" i="60"/>
  <c r="AS11" i="60"/>
  <c r="AQ11" i="60"/>
  <c r="AM11" i="60"/>
  <c r="AI11" i="60"/>
  <c r="AG28" i="60" s="1"/>
  <c r="D28" i="60" s="1"/>
  <c r="C11" i="60"/>
  <c r="AX10" i="60"/>
  <c r="P10" i="60"/>
  <c r="W96" i="60" s="1"/>
  <c r="E10" i="60"/>
  <c r="AX9" i="60"/>
  <c r="B9" i="60"/>
  <c r="AX8" i="60"/>
  <c r="O8" i="60"/>
  <c r="AX7" i="60"/>
  <c r="O7" i="60"/>
  <c r="J7" i="60"/>
  <c r="E7" i="60"/>
  <c r="B7" i="60"/>
  <c r="AX6" i="60"/>
  <c r="K6" i="60"/>
  <c r="C6" i="60"/>
  <c r="AX5" i="60"/>
  <c r="AB5" i="60"/>
  <c r="P5" i="60"/>
  <c r="J5" i="60"/>
  <c r="H5" i="60"/>
  <c r="B5" i="60"/>
  <c r="AX4" i="60"/>
  <c r="AX2" i="60"/>
  <c r="H79" i="63" l="1"/>
  <c r="F90" i="63"/>
  <c r="H90" i="63" s="1"/>
  <c r="F91" i="63"/>
  <c r="H91" i="63" s="1"/>
  <c r="H63" i="63"/>
  <c r="F74" i="63"/>
  <c r="H74" i="63" s="1"/>
  <c r="F75" i="63"/>
  <c r="H81" i="63"/>
  <c r="F92" i="63"/>
  <c r="H92" i="63" s="1"/>
  <c r="F49" i="63"/>
  <c r="H38" i="63"/>
  <c r="H49" i="63" s="1"/>
  <c r="G49" i="63" s="1"/>
  <c r="G24" i="63"/>
  <c r="Q842" i="62"/>
  <c r="R842" i="62" s="1"/>
  <c r="S842" i="62" s="1"/>
  <c r="P842" i="62"/>
  <c r="R846" i="62"/>
  <c r="S846" i="62" s="1"/>
  <c r="Q846" i="62"/>
  <c r="P846" i="62"/>
  <c r="P841" i="62"/>
  <c r="R841" i="62"/>
  <c r="S841" i="62" s="1"/>
  <c r="Q841" i="62"/>
  <c r="R845" i="62"/>
  <c r="S845" i="62" s="1"/>
  <c r="P845" i="62"/>
  <c r="Q845" i="62"/>
  <c r="Q844" i="62"/>
  <c r="R844" i="62" s="1"/>
  <c r="S844" i="62" s="1"/>
  <c r="P844" i="62"/>
  <c r="F701" i="62"/>
  <c r="P839" i="62"/>
  <c r="R839" i="62"/>
  <c r="S839" i="62" s="1"/>
  <c r="Q839" i="62"/>
  <c r="F699" i="62"/>
  <c r="L698" i="62"/>
  <c r="P840" i="62"/>
  <c r="Q840" i="62"/>
  <c r="R840" i="62" s="1"/>
  <c r="S840" i="62" s="1"/>
  <c r="F703" i="62"/>
  <c r="J758" i="62"/>
  <c r="J759" i="62" s="1"/>
  <c r="M338" i="62"/>
  <c r="L338" i="62"/>
  <c r="AG53" i="61"/>
  <c r="D53" i="61" s="1"/>
  <c r="AH23" i="61"/>
  <c r="B23" i="61" s="1"/>
  <c r="AH28" i="61"/>
  <c r="B28" i="61" s="1"/>
  <c r="AH24" i="61"/>
  <c r="B24" i="61" s="1"/>
  <c r="AL23" i="61"/>
  <c r="AL28" i="61"/>
  <c r="AG29" i="61"/>
  <c r="D29" i="61" s="1"/>
  <c r="AH30" i="61"/>
  <c r="B30" i="61" s="1"/>
  <c r="W32" i="61"/>
  <c r="AG32" i="61" s="1"/>
  <c r="D32" i="61" s="1"/>
  <c r="AL33" i="61"/>
  <c r="AL30" i="61"/>
  <c r="AH25" i="61"/>
  <c r="B25" i="61" s="1"/>
  <c r="AH27" i="61"/>
  <c r="B27" i="61" s="1"/>
  <c r="AL29" i="61"/>
  <c r="AG37" i="61"/>
  <c r="D37" i="61" s="1"/>
  <c r="AG45" i="61"/>
  <c r="D45" i="61" s="1"/>
  <c r="AK39" i="61"/>
  <c r="AJ39" i="61" s="1"/>
  <c r="AL25" i="61"/>
  <c r="AL27" i="61"/>
  <c r="AH29" i="61"/>
  <c r="B29" i="61" s="1"/>
  <c r="AG47" i="61"/>
  <c r="D47" i="61" s="1"/>
  <c r="Y33" i="61"/>
  <c r="AL22" i="61"/>
  <c r="AK24" i="61"/>
  <c r="AN24" i="61" s="1"/>
  <c r="AO24" i="61" s="1"/>
  <c r="AG25" i="61"/>
  <c r="D25" i="61" s="1"/>
  <c r="AK52" i="61"/>
  <c r="AN52" i="61" s="1"/>
  <c r="AO52" i="61" s="1"/>
  <c r="AK42" i="61"/>
  <c r="AN42" i="61" s="1"/>
  <c r="AO42" i="61" s="1"/>
  <c r="AH22" i="61"/>
  <c r="B22" i="61" s="1"/>
  <c r="AL24" i="61"/>
  <c r="AB56" i="61"/>
  <c r="AE22" i="61"/>
  <c r="AB55" i="61"/>
  <c r="AB17" i="61" s="1"/>
  <c r="T18" i="61" s="1"/>
  <c r="F17" i="61"/>
  <c r="F56" i="61"/>
  <c r="AG22" i="61"/>
  <c r="AK22" i="61"/>
  <c r="AG24" i="61"/>
  <c r="D24" i="61" s="1"/>
  <c r="AG27" i="61"/>
  <c r="D27" i="61" s="1"/>
  <c r="AK29" i="61"/>
  <c r="AG35" i="61"/>
  <c r="D35" i="61" s="1"/>
  <c r="AK37" i="61"/>
  <c r="AK40" i="61"/>
  <c r="AG43" i="61"/>
  <c r="D43" i="61" s="1"/>
  <c r="AK45" i="61"/>
  <c r="AK47" i="61"/>
  <c r="AG49" i="61"/>
  <c r="D49" i="61" s="1"/>
  <c r="AK54" i="61"/>
  <c r="AK53" i="61"/>
  <c r="AG23" i="61"/>
  <c r="D23" i="61" s="1"/>
  <c r="AK23" i="61"/>
  <c r="AK25" i="61"/>
  <c r="AK28" i="61"/>
  <c r="AG39" i="61"/>
  <c r="D39" i="61" s="1"/>
  <c r="AK41" i="61"/>
  <c r="AK44" i="61"/>
  <c r="AK50" i="61"/>
  <c r="AK51" i="61"/>
  <c r="AN39" i="61"/>
  <c r="AO39" i="61" s="1"/>
  <c r="AK26" i="61"/>
  <c r="AG26" i="61"/>
  <c r="D26" i="61" s="1"/>
  <c r="AK27" i="61"/>
  <c r="AK30" i="61"/>
  <c r="AK35" i="61"/>
  <c r="AK38" i="61"/>
  <c r="AG41" i="61"/>
  <c r="D41" i="61" s="1"/>
  <c r="AK43" i="61"/>
  <c r="AK46" i="61"/>
  <c r="AK48" i="61"/>
  <c r="AK49" i="61"/>
  <c r="AG51" i="61"/>
  <c r="D51" i="61" s="1"/>
  <c r="AG28" i="61"/>
  <c r="D28" i="61" s="1"/>
  <c r="AG30" i="61"/>
  <c r="D30" i="61" s="1"/>
  <c r="AG38" i="61"/>
  <c r="D38" i="61" s="1"/>
  <c r="AG40" i="61"/>
  <c r="D40" i="61" s="1"/>
  <c r="AG42" i="61"/>
  <c r="D42" i="61" s="1"/>
  <c r="AG44" i="61"/>
  <c r="D44" i="61" s="1"/>
  <c r="AG46" i="61"/>
  <c r="D46" i="61" s="1"/>
  <c r="AG48" i="61"/>
  <c r="D48" i="61" s="1"/>
  <c r="AG50" i="61"/>
  <c r="D50" i="61" s="1"/>
  <c r="AG52" i="61"/>
  <c r="D52" i="61" s="1"/>
  <c r="AG54" i="61"/>
  <c r="D54" i="61" s="1"/>
  <c r="AJ16" i="60"/>
  <c r="AN16" i="60"/>
  <c r="AO16" i="60" s="1"/>
  <c r="AN19" i="60"/>
  <c r="AO19" i="60" s="1"/>
  <c r="AJ19" i="60"/>
  <c r="B47" i="60"/>
  <c r="AN15" i="60"/>
  <c r="AO15" i="60" s="1"/>
  <c r="AJ15" i="60"/>
  <c r="AJ18" i="60"/>
  <c r="AN18" i="60"/>
  <c r="AO18" i="60" s="1"/>
  <c r="AN23" i="60"/>
  <c r="AO23" i="60" s="1"/>
  <c r="AJ23" i="60"/>
  <c r="AN30" i="60"/>
  <c r="AO30" i="60" s="1"/>
  <c r="AJ30" i="60"/>
  <c r="AJ20" i="60"/>
  <c r="AN20" i="60"/>
  <c r="AO20" i="60" s="1"/>
  <c r="X34" i="60"/>
  <c r="AJ22" i="60"/>
  <c r="AN22" i="60"/>
  <c r="AO22" i="60" s="1"/>
  <c r="AN26" i="60"/>
  <c r="AO26" i="60" s="1"/>
  <c r="AJ26" i="60"/>
  <c r="AB46" i="60"/>
  <c r="AB8" i="60" s="1"/>
  <c r="T9" i="60" s="1"/>
  <c r="AB47" i="60"/>
  <c r="AE13" i="60"/>
  <c r="AN17" i="60"/>
  <c r="AO17" i="60" s="1"/>
  <c r="AJ17" i="60"/>
  <c r="AN21" i="60"/>
  <c r="AO21" i="60" s="1"/>
  <c r="AJ21" i="60"/>
  <c r="AA24" i="60"/>
  <c r="AA28" i="60"/>
  <c r="AN40" i="60"/>
  <c r="AO40" i="60" s="1"/>
  <c r="AJ40" i="60"/>
  <c r="AG14" i="60"/>
  <c r="D14" i="60" s="1"/>
  <c r="X16" i="60"/>
  <c r="X18" i="60"/>
  <c r="X20" i="60"/>
  <c r="X24" i="60"/>
  <c r="AK24" i="60"/>
  <c r="AK25" i="60"/>
  <c r="AG30" i="60"/>
  <c r="D30" i="60" s="1"/>
  <c r="X32" i="60"/>
  <c r="AK32" i="60"/>
  <c r="AK33" i="60"/>
  <c r="AK35" i="60"/>
  <c r="AN42" i="60"/>
  <c r="AO42" i="60" s="1"/>
  <c r="AJ42" i="60"/>
  <c r="AK14" i="60"/>
  <c r="F8" i="60"/>
  <c r="F47" i="60"/>
  <c r="W46" i="60"/>
  <c r="AA13" i="60"/>
  <c r="AG13" i="60"/>
  <c r="AK13" i="60"/>
  <c r="AA15" i="60"/>
  <c r="AG15" i="60"/>
  <c r="D15" i="60" s="1"/>
  <c r="AA17" i="60"/>
  <c r="AG17" i="60"/>
  <c r="D17" i="60" s="1"/>
  <c r="AA19" i="60"/>
  <c r="AG19" i="60"/>
  <c r="D19" i="60" s="1"/>
  <c r="AA21" i="60"/>
  <c r="AG21" i="60"/>
  <c r="D21" i="60" s="1"/>
  <c r="AA23" i="60"/>
  <c r="AG23" i="60"/>
  <c r="D23" i="60" s="1"/>
  <c r="AG24" i="60"/>
  <c r="D24" i="60" s="1"/>
  <c r="X26" i="60"/>
  <c r="AK27" i="60"/>
  <c r="AN29" i="60"/>
  <c r="AO29" i="60" s="1"/>
  <c r="AG32" i="60"/>
  <c r="D32" i="60" s="1"/>
  <c r="AK44" i="60"/>
  <c r="AN45" i="60"/>
  <c r="AO45" i="60" s="1"/>
  <c r="AN28" i="60"/>
  <c r="AO28" i="60" s="1"/>
  <c r="AJ28" i="60"/>
  <c r="AA30" i="60"/>
  <c r="AN36" i="60"/>
  <c r="AO36" i="60" s="1"/>
  <c r="AJ36" i="60"/>
  <c r="AN38" i="60"/>
  <c r="AO38" i="60" s="1"/>
  <c r="AJ38" i="60"/>
  <c r="AG16" i="60"/>
  <c r="D16" i="60" s="1"/>
  <c r="AA18" i="60"/>
  <c r="AG18" i="60"/>
  <c r="D18" i="60" s="1"/>
  <c r="AA20" i="60"/>
  <c r="AG20" i="60"/>
  <c r="D20" i="60" s="1"/>
  <c r="AA22" i="60"/>
  <c r="AG22" i="60"/>
  <c r="D22" i="60" s="1"/>
  <c r="X30" i="60"/>
  <c r="AK31" i="60"/>
  <c r="AK34" i="60"/>
  <c r="AG34" i="60"/>
  <c r="D34" i="60" s="1"/>
  <c r="AA34" i="60"/>
  <c r="AK37" i="60"/>
  <c r="AK39" i="60"/>
  <c r="AK41" i="60"/>
  <c r="AK43" i="60"/>
  <c r="X25" i="60"/>
  <c r="X27" i="60"/>
  <c r="X29" i="60"/>
  <c r="X31" i="60"/>
  <c r="X33" i="60"/>
  <c r="X35" i="60"/>
  <c r="X37" i="60"/>
  <c r="X39" i="60"/>
  <c r="X41" i="60"/>
  <c r="X43" i="60"/>
  <c r="X45" i="60"/>
  <c r="AA36" i="60"/>
  <c r="AG36" i="60"/>
  <c r="D36" i="60" s="1"/>
  <c r="AA38" i="60"/>
  <c r="AG38" i="60"/>
  <c r="D38" i="60" s="1"/>
  <c r="AA40" i="60"/>
  <c r="AG40" i="60"/>
  <c r="D40" i="60" s="1"/>
  <c r="AA42" i="60"/>
  <c r="AG42" i="60"/>
  <c r="D42" i="60" s="1"/>
  <c r="AA44" i="60"/>
  <c r="AG44" i="60"/>
  <c r="D44" i="60" s="1"/>
  <c r="AA25" i="60"/>
  <c r="AG25" i="60"/>
  <c r="D25" i="60" s="1"/>
  <c r="AA27" i="60"/>
  <c r="AG27" i="60"/>
  <c r="D27" i="60" s="1"/>
  <c r="AA29" i="60"/>
  <c r="AG29" i="60"/>
  <c r="D29" i="60" s="1"/>
  <c r="AA31" i="60"/>
  <c r="AG31" i="60"/>
  <c r="D31" i="60" s="1"/>
  <c r="AA33" i="60"/>
  <c r="AG33" i="60"/>
  <c r="D33" i="60" s="1"/>
  <c r="AA35" i="60"/>
  <c r="AG35" i="60"/>
  <c r="D35" i="60" s="1"/>
  <c r="AA37" i="60"/>
  <c r="AG37" i="60"/>
  <c r="D37" i="60" s="1"/>
  <c r="AA39" i="60"/>
  <c r="AG39" i="60"/>
  <c r="D39" i="60" s="1"/>
  <c r="AA41" i="60"/>
  <c r="AG41" i="60"/>
  <c r="D41" i="60" s="1"/>
  <c r="AA43" i="60"/>
  <c r="AG43" i="60"/>
  <c r="D43" i="60" s="1"/>
  <c r="AA45" i="60"/>
  <c r="AG45" i="60"/>
  <c r="D45" i="60" s="1"/>
  <c r="H75" i="63" l="1"/>
  <c r="F86" i="63"/>
  <c r="H86" i="63" s="1"/>
  <c r="F87" i="63"/>
  <c r="H87" i="63" s="1"/>
  <c r="F93" i="63"/>
  <c r="H93" i="63"/>
  <c r="K699" i="62"/>
  <c r="L699" i="62" s="1"/>
  <c r="G699" i="62"/>
  <c r="G701" i="62"/>
  <c r="K701" i="62" s="1"/>
  <c r="L701" i="62" s="1"/>
  <c r="K703" i="62"/>
  <c r="L703" i="62" s="1"/>
  <c r="G703" i="62"/>
  <c r="F700" i="62"/>
  <c r="F702" i="62"/>
  <c r="AJ52" i="61"/>
  <c r="AK32" i="61"/>
  <c r="AN32" i="61" s="1"/>
  <c r="AO32" i="61" s="1"/>
  <c r="W36" i="61"/>
  <c r="B56" i="61"/>
  <c r="AJ42" i="61"/>
  <c r="AJ24" i="61"/>
  <c r="AN44" i="61"/>
  <c r="AO44" i="61" s="1"/>
  <c r="AJ44" i="61"/>
  <c r="AN54" i="61"/>
  <c r="AO54" i="61" s="1"/>
  <c r="AJ54" i="61"/>
  <c r="AN48" i="61"/>
  <c r="AO48" i="61" s="1"/>
  <c r="AJ48" i="61"/>
  <c r="AN43" i="61"/>
  <c r="AO43" i="61" s="1"/>
  <c r="AJ43" i="61"/>
  <c r="AN30" i="61"/>
  <c r="AO30" i="61" s="1"/>
  <c r="AJ30" i="61"/>
  <c r="AN50" i="61"/>
  <c r="AO50" i="61" s="1"/>
  <c r="AJ50" i="61"/>
  <c r="AN28" i="61"/>
  <c r="AO28" i="61" s="1"/>
  <c r="AJ28" i="61"/>
  <c r="AN47" i="61"/>
  <c r="AO47" i="61" s="1"/>
  <c r="AJ47" i="61"/>
  <c r="AN40" i="61"/>
  <c r="AO40" i="61" s="1"/>
  <c r="AJ40" i="61"/>
  <c r="AN22" i="61"/>
  <c r="AJ22" i="61"/>
  <c r="C56" i="61"/>
  <c r="F20" i="61"/>
  <c r="AN26" i="61"/>
  <c r="AO26" i="61" s="1"/>
  <c r="AJ26" i="61"/>
  <c r="AN49" i="61"/>
  <c r="AO49" i="61" s="1"/>
  <c r="AJ49" i="61"/>
  <c r="AN46" i="61"/>
  <c r="AO46" i="61" s="1"/>
  <c r="AJ46" i="61"/>
  <c r="AN27" i="61"/>
  <c r="AO27" i="61" s="1"/>
  <c r="AJ27" i="61"/>
  <c r="AN51" i="61"/>
  <c r="AO51" i="61" s="1"/>
  <c r="AJ51" i="61"/>
  <c r="AN25" i="61"/>
  <c r="AO25" i="61" s="1"/>
  <c r="AJ25" i="61"/>
  <c r="AN45" i="61"/>
  <c r="AO45" i="61" s="1"/>
  <c r="AJ45" i="61"/>
  <c r="AN37" i="61"/>
  <c r="AO37" i="61" s="1"/>
  <c r="AJ37" i="61"/>
  <c r="AN35" i="61"/>
  <c r="AO35" i="61" s="1"/>
  <c r="AJ35" i="61"/>
  <c r="D22" i="61"/>
  <c r="AN38" i="61"/>
  <c r="AO38" i="61" s="1"/>
  <c r="AJ38" i="61"/>
  <c r="AN41" i="61"/>
  <c r="AO41" i="61" s="1"/>
  <c r="AJ41" i="61"/>
  <c r="AJ23" i="61"/>
  <c r="AN23" i="61"/>
  <c r="AO23" i="61" s="1"/>
  <c r="AN53" i="61"/>
  <c r="AO53" i="61" s="1"/>
  <c r="AJ53" i="61"/>
  <c r="AN29" i="61"/>
  <c r="AO29" i="61" s="1"/>
  <c r="AJ29" i="61"/>
  <c r="Y22" i="61"/>
  <c r="AJ43" i="60"/>
  <c r="AN43" i="60"/>
  <c r="AO43" i="60" s="1"/>
  <c r="AN44" i="60"/>
  <c r="AO44" i="60" s="1"/>
  <c r="AJ44" i="60"/>
  <c r="AK47" i="60"/>
  <c r="AN13" i="60"/>
  <c r="AJ13" i="60"/>
  <c r="C47" i="60"/>
  <c r="E47" i="60" s="1"/>
  <c r="F11" i="60"/>
  <c r="AN32" i="60"/>
  <c r="AO32" i="60" s="1"/>
  <c r="AJ32" i="60"/>
  <c r="AN25" i="60"/>
  <c r="AO25" i="60" s="1"/>
  <c r="AJ25" i="60"/>
  <c r="AJ39" i="60"/>
  <c r="AN39" i="60"/>
  <c r="AO39" i="60" s="1"/>
  <c r="AN34" i="60"/>
  <c r="AO34" i="60" s="1"/>
  <c r="AJ34" i="60"/>
  <c r="AN14" i="60"/>
  <c r="AO14" i="60" s="1"/>
  <c r="AJ14" i="60"/>
  <c r="AN35" i="60"/>
  <c r="AO35" i="60" s="1"/>
  <c r="AJ35" i="60"/>
  <c r="AJ37" i="60"/>
  <c r="AN37" i="60"/>
  <c r="AO37" i="60" s="1"/>
  <c r="AJ31" i="60"/>
  <c r="AN31" i="60"/>
  <c r="AO31" i="60" s="1"/>
  <c r="AJ27" i="60"/>
  <c r="AN27" i="60"/>
  <c r="AO27" i="60" s="1"/>
  <c r="X42" i="60"/>
  <c r="X40" i="60"/>
  <c r="X38" i="60"/>
  <c r="X36" i="60"/>
  <c r="Y17" i="60"/>
  <c r="Y15" i="60"/>
  <c r="H13" i="60"/>
  <c r="W12" i="60"/>
  <c r="P11" i="60" s="1"/>
  <c r="X44" i="60"/>
  <c r="Y13" i="60"/>
  <c r="X21" i="60"/>
  <c r="X19" i="60"/>
  <c r="X15" i="60"/>
  <c r="AA16" i="60"/>
  <c r="X28" i="60"/>
  <c r="X23" i="60"/>
  <c r="X17" i="60"/>
  <c r="X13" i="60"/>
  <c r="AN33" i="60"/>
  <c r="AO33" i="60" s="1"/>
  <c r="AJ33" i="60"/>
  <c r="AA26" i="60"/>
  <c r="X22" i="60"/>
  <c r="X14" i="60"/>
  <c r="AA32" i="60"/>
  <c r="AA14" i="60"/>
  <c r="AJ41" i="60"/>
  <c r="AN41" i="60"/>
  <c r="AO41" i="60" s="1"/>
  <c r="AG47" i="60"/>
  <c r="AG8" i="60" s="1"/>
  <c r="D13" i="60"/>
  <c r="D47" i="60" s="1"/>
  <c r="D11" i="60" s="1"/>
  <c r="H8" i="60" s="1"/>
  <c r="AN24" i="60"/>
  <c r="AO24" i="60" s="1"/>
  <c r="AJ24" i="60"/>
  <c r="G700" i="62" l="1"/>
  <c r="K700" i="62"/>
  <c r="L700" i="62" s="1"/>
  <c r="K698" i="62"/>
  <c r="E691" i="62" s="1"/>
  <c r="C691" i="62" s="1"/>
  <c r="K702" i="62"/>
  <c r="L702" i="62" s="1"/>
  <c r="G702" i="62"/>
  <c r="I691" i="62" s="1"/>
  <c r="F691" i="62"/>
  <c r="D694" i="62" s="1"/>
  <c r="AJ32" i="61"/>
  <c r="AK34" i="61"/>
  <c r="AG34" i="61"/>
  <c r="AG36" i="61"/>
  <c r="D36" i="61" s="1"/>
  <c r="AK36" i="61"/>
  <c r="H19" i="61"/>
  <c r="AO22" i="61"/>
  <c r="X47" i="60"/>
  <c r="W97" i="60"/>
  <c r="F9" i="60"/>
  <c r="AJ47" i="60"/>
  <c r="AJ8" i="60" s="1"/>
  <c r="Y47" i="60"/>
  <c r="AN47" i="60"/>
  <c r="AN8" i="60" s="1"/>
  <c r="AO13" i="60"/>
  <c r="AO47" i="60" s="1"/>
  <c r="H10" i="60"/>
  <c r="P8" i="60"/>
  <c r="W94" i="60" s="1"/>
  <c r="AM47" i="60"/>
  <c r="AL47" i="60" s="1"/>
  <c r="AK8" i="60"/>
  <c r="C696" i="62" l="1"/>
  <c r="I694" i="62"/>
  <c r="G694" i="62"/>
  <c r="E694" i="62" s="1"/>
  <c r="D696" i="62"/>
  <c r="H694" i="62"/>
  <c r="C694" i="62"/>
  <c r="D34" i="61"/>
  <c r="AJ36" i="61"/>
  <c r="AN36" i="61"/>
  <c r="AO36" i="61" s="1"/>
  <c r="AJ34" i="61"/>
  <c r="AN34" i="61"/>
  <c r="AP22" i="61"/>
  <c r="AQ47" i="60"/>
  <c r="AP47" i="60" s="1"/>
  <c r="AO8" i="60"/>
  <c r="AP15" i="60"/>
  <c r="AP17" i="60"/>
  <c r="AP13" i="60"/>
  <c r="K694" i="62" l="1"/>
  <c r="E696" i="62"/>
  <c r="J696" i="62"/>
  <c r="AO34" i="61"/>
  <c r="C56" i="54"/>
  <c r="I44" i="44"/>
  <c r="K97" i="57"/>
  <c r="K44" i="47"/>
  <c r="K64" i="49"/>
  <c r="R5" i="55"/>
  <c r="AZ2" i="49"/>
  <c r="AY4" i="57"/>
  <c r="AY3" i="57"/>
  <c r="U63" i="57"/>
  <c r="X63" i="57" s="1"/>
  <c r="U64" i="57"/>
  <c r="X64" i="57" s="1"/>
  <c r="U65" i="57"/>
  <c r="U66" i="57"/>
  <c r="U67" i="57"/>
  <c r="X67" i="57" s="1"/>
  <c r="U68" i="57"/>
  <c r="X68" i="57" s="1"/>
  <c r="U69" i="57"/>
  <c r="X69" i="57" s="1"/>
  <c r="U70" i="57"/>
  <c r="X70" i="57" s="1"/>
  <c r="U71" i="57"/>
  <c r="X71" i="57" s="1"/>
  <c r="U72" i="57"/>
  <c r="X72" i="57" s="1"/>
  <c r="U73" i="57"/>
  <c r="X73" i="57" s="1"/>
  <c r="U74" i="57"/>
  <c r="X74" i="57" s="1"/>
  <c r="U75" i="57"/>
  <c r="X75" i="57" s="1"/>
  <c r="U76" i="57"/>
  <c r="X76" i="57" s="1"/>
  <c r="U77" i="57"/>
  <c r="X77" i="57" s="1"/>
  <c r="U78" i="57"/>
  <c r="X78" i="57" s="1"/>
  <c r="U79" i="57"/>
  <c r="X79" i="57" s="1"/>
  <c r="U62" i="57"/>
  <c r="V91" i="57"/>
  <c r="W157" i="57"/>
  <c r="X146" i="57"/>
  <c r="S144" i="57"/>
  <c r="S143" i="57"/>
  <c r="S141" i="57"/>
  <c r="X139" i="57"/>
  <c r="X137" i="57"/>
  <c r="X134" i="57"/>
  <c r="X131" i="57"/>
  <c r="X129" i="57"/>
  <c r="X127" i="57"/>
  <c r="X124" i="57"/>
  <c r="X122" i="57"/>
  <c r="U121" i="57"/>
  <c r="T121" i="57"/>
  <c r="S121" i="57"/>
  <c r="X119" i="57"/>
  <c r="X115" i="57"/>
  <c r="X113" i="57"/>
  <c r="X112" i="57"/>
  <c r="X105" i="57"/>
  <c r="AD103" i="57"/>
  <c r="AE103" i="57" s="1"/>
  <c r="AD102" i="57"/>
  <c r="AE102" i="57" s="1"/>
  <c r="AD101" i="57"/>
  <c r="AE101" i="57" s="1"/>
  <c r="AA101" i="57"/>
  <c r="S99" i="57"/>
  <c r="AY97" i="57"/>
  <c r="B97" i="57"/>
  <c r="X152" i="57" s="1"/>
  <c r="AY96" i="57"/>
  <c r="B96" i="57"/>
  <c r="X150" i="57" s="1"/>
  <c r="AY95" i="57"/>
  <c r="B95" i="57"/>
  <c r="X149" i="57" s="1"/>
  <c r="AY94" i="57"/>
  <c r="H94" i="57"/>
  <c r="B94" i="57"/>
  <c r="X148" i="57" s="1"/>
  <c r="AY93" i="57"/>
  <c r="AY92" i="57"/>
  <c r="AY91" i="57"/>
  <c r="AR91" i="57"/>
  <c r="AQ91" i="57"/>
  <c r="AN91" i="57"/>
  <c r="AM91" i="57"/>
  <c r="AJ91" i="57"/>
  <c r="AI91" i="57"/>
  <c r="AD91" i="57"/>
  <c r="AE91" i="57" s="1"/>
  <c r="AF91" i="57" s="1"/>
  <c r="AA91" i="57"/>
  <c r="Z91" i="57"/>
  <c r="X91" i="57"/>
  <c r="G91" i="57"/>
  <c r="AY90" i="57"/>
  <c r="AR90" i="57"/>
  <c r="AN90" i="57"/>
  <c r="AJ90" i="57"/>
  <c r="AD90" i="57"/>
  <c r="AE90" i="57" s="1"/>
  <c r="AF90" i="57" s="1"/>
  <c r="AA90" i="57"/>
  <c r="X90" i="57"/>
  <c r="G90" i="57"/>
  <c r="AY89" i="57"/>
  <c r="AR89" i="57"/>
  <c r="AN89" i="57"/>
  <c r="AJ89" i="57"/>
  <c r="AD89" i="57"/>
  <c r="AE89" i="57" s="1"/>
  <c r="AF89" i="57" s="1"/>
  <c r="AA89" i="57"/>
  <c r="X89" i="57"/>
  <c r="G89" i="57"/>
  <c r="AY88" i="57"/>
  <c r="AR88" i="57"/>
  <c r="AN88" i="57"/>
  <c r="AJ88" i="57"/>
  <c r="AD88" i="57"/>
  <c r="AE88" i="57" s="1"/>
  <c r="AF88" i="57" s="1"/>
  <c r="AA88" i="57"/>
  <c r="X88" i="57"/>
  <c r="G88" i="57"/>
  <c r="AY87" i="57"/>
  <c r="AR87" i="57"/>
  <c r="AQ87" i="57"/>
  <c r="AN87" i="57"/>
  <c r="AM87" i="57"/>
  <c r="AJ87" i="57"/>
  <c r="AI87" i="57"/>
  <c r="AD87" i="57"/>
  <c r="AE87" i="57" s="1"/>
  <c r="AF87" i="57" s="1"/>
  <c r="AA87" i="57"/>
  <c r="Z87" i="57"/>
  <c r="X87" i="57"/>
  <c r="G87" i="57"/>
  <c r="AY86" i="57"/>
  <c r="AR86" i="57"/>
  <c r="AQ86" i="57"/>
  <c r="AN86" i="57"/>
  <c r="AM86" i="57"/>
  <c r="AJ86" i="57"/>
  <c r="AI86" i="57"/>
  <c r="AD86" i="57"/>
  <c r="AE86" i="57" s="1"/>
  <c r="AF86" i="57" s="1"/>
  <c r="AA86" i="57"/>
  <c r="Z86" i="57"/>
  <c r="X86" i="57"/>
  <c r="G86" i="57"/>
  <c r="AY85" i="57"/>
  <c r="AR85" i="57"/>
  <c r="AQ85" i="57"/>
  <c r="AN85" i="57"/>
  <c r="AM85" i="57"/>
  <c r="AJ85" i="57"/>
  <c r="AI85" i="57"/>
  <c r="AD85" i="57"/>
  <c r="AE85" i="57" s="1"/>
  <c r="AF85" i="57" s="1"/>
  <c r="AA85" i="57"/>
  <c r="Z85" i="57"/>
  <c r="X85" i="57"/>
  <c r="G85" i="57"/>
  <c r="AY84" i="57"/>
  <c r="AR84" i="57"/>
  <c r="AQ84" i="57"/>
  <c r="AN84" i="57"/>
  <c r="AM84" i="57"/>
  <c r="AJ84" i="57"/>
  <c r="AI84" i="57"/>
  <c r="AD84" i="57"/>
  <c r="AE84" i="57" s="1"/>
  <c r="AF84" i="57" s="1"/>
  <c r="AA84" i="57"/>
  <c r="Z84" i="57"/>
  <c r="X84" i="57"/>
  <c r="G84" i="57"/>
  <c r="AY83" i="57"/>
  <c r="AR83" i="57"/>
  <c r="AQ83" i="57"/>
  <c r="AN83" i="57"/>
  <c r="AM83" i="57"/>
  <c r="AJ83" i="57"/>
  <c r="AI83" i="57"/>
  <c r="AD83" i="57"/>
  <c r="AE83" i="57" s="1"/>
  <c r="AF83" i="57" s="1"/>
  <c r="AA83" i="57"/>
  <c r="Z83" i="57"/>
  <c r="X83" i="57"/>
  <c r="G83" i="57"/>
  <c r="AY82" i="57"/>
  <c r="AR82" i="57"/>
  <c r="AQ82" i="57"/>
  <c r="AN82" i="57"/>
  <c r="AM82" i="57"/>
  <c r="AJ82" i="57"/>
  <c r="AI82" i="57"/>
  <c r="AD82" i="57"/>
  <c r="AE82" i="57" s="1"/>
  <c r="AF82" i="57" s="1"/>
  <c r="AA82" i="57"/>
  <c r="Z82" i="57"/>
  <c r="X82" i="57"/>
  <c r="G82" i="57"/>
  <c r="AY81" i="57"/>
  <c r="AR81" i="57"/>
  <c r="AQ81" i="57"/>
  <c r="AN81" i="57"/>
  <c r="AM81" i="57"/>
  <c r="AJ81" i="57"/>
  <c r="AI81" i="57"/>
  <c r="AD81" i="57"/>
  <c r="AE81" i="57" s="1"/>
  <c r="AF81" i="57" s="1"/>
  <c r="AA81" i="57"/>
  <c r="Z81" i="57"/>
  <c r="X81" i="57"/>
  <c r="G81" i="57"/>
  <c r="AY80" i="57"/>
  <c r="AR80" i="57"/>
  <c r="AQ80" i="57"/>
  <c r="AN80" i="57"/>
  <c r="AM80" i="57"/>
  <c r="AJ80" i="57"/>
  <c r="AI80" i="57"/>
  <c r="AD80" i="57"/>
  <c r="AE80" i="57" s="1"/>
  <c r="AF80" i="57" s="1"/>
  <c r="AA80" i="57"/>
  <c r="Z80" i="57"/>
  <c r="X80" i="57"/>
  <c r="G80" i="57"/>
  <c r="AY79" i="57"/>
  <c r="AR79" i="57"/>
  <c r="AQ79" i="57"/>
  <c r="AN79" i="57"/>
  <c r="AM79" i="57"/>
  <c r="AJ79" i="57"/>
  <c r="AI79" i="57"/>
  <c r="AD79" i="57"/>
  <c r="AE79" i="57" s="1"/>
  <c r="AF79" i="57" s="1"/>
  <c r="AA79" i="57"/>
  <c r="Z79" i="57"/>
  <c r="G79" i="57"/>
  <c r="AY78" i="57"/>
  <c r="AR78" i="57"/>
  <c r="AQ78" i="57"/>
  <c r="AN78" i="57"/>
  <c r="AM78" i="57"/>
  <c r="AJ78" i="57"/>
  <c r="AI78" i="57"/>
  <c r="AD78" i="57"/>
  <c r="AE78" i="57" s="1"/>
  <c r="AF78" i="57" s="1"/>
  <c r="AA78" i="57"/>
  <c r="Z78" i="57"/>
  <c r="G78" i="57"/>
  <c r="AY77" i="57"/>
  <c r="AR77" i="57"/>
  <c r="AQ77" i="57"/>
  <c r="AN77" i="57"/>
  <c r="AM77" i="57"/>
  <c r="AJ77" i="57"/>
  <c r="AI77" i="57"/>
  <c r="AD77" i="57"/>
  <c r="AE77" i="57" s="1"/>
  <c r="AF77" i="57" s="1"/>
  <c r="AA77" i="57"/>
  <c r="Z77" i="57"/>
  <c r="G77" i="57"/>
  <c r="AY76" i="57"/>
  <c r="AR76" i="57"/>
  <c r="AQ76" i="57"/>
  <c r="AN76" i="57"/>
  <c r="AM76" i="57"/>
  <c r="AJ76" i="57"/>
  <c r="AI76" i="57"/>
  <c r="AD76" i="57"/>
  <c r="AE76" i="57" s="1"/>
  <c r="AF76" i="57" s="1"/>
  <c r="AA76" i="57"/>
  <c r="Z76" i="57"/>
  <c r="G76" i="57"/>
  <c r="AY75" i="57"/>
  <c r="AR75" i="57"/>
  <c r="AQ75" i="57"/>
  <c r="AN75" i="57"/>
  <c r="AM75" i="57"/>
  <c r="AJ75" i="57"/>
  <c r="AI75" i="57"/>
  <c r="AD75" i="57"/>
  <c r="AE75" i="57" s="1"/>
  <c r="AF75" i="57" s="1"/>
  <c r="AA75" i="57"/>
  <c r="Z75" i="57"/>
  <c r="G75" i="57"/>
  <c r="AY74" i="57"/>
  <c r="AR74" i="57"/>
  <c r="AQ74" i="57"/>
  <c r="AN74" i="57"/>
  <c r="AM74" i="57"/>
  <c r="AJ74" i="57"/>
  <c r="AI74" i="57"/>
  <c r="AD74" i="57"/>
  <c r="AE74" i="57" s="1"/>
  <c r="AF74" i="57" s="1"/>
  <c r="AA74" i="57"/>
  <c r="Z74" i="57"/>
  <c r="G74" i="57"/>
  <c r="AY73" i="57"/>
  <c r="AR73" i="57"/>
  <c r="AQ73" i="57"/>
  <c r="AN73" i="57"/>
  <c r="AM73" i="57"/>
  <c r="AJ73" i="57"/>
  <c r="AI73" i="57"/>
  <c r="AD73" i="57"/>
  <c r="AE73" i="57" s="1"/>
  <c r="AF73" i="57" s="1"/>
  <c r="AA73" i="57"/>
  <c r="Z73" i="57"/>
  <c r="G73" i="57"/>
  <c r="AY72" i="57"/>
  <c r="AR72" i="57"/>
  <c r="AQ72" i="57"/>
  <c r="AN72" i="57"/>
  <c r="AM72" i="57"/>
  <c r="AJ72" i="57"/>
  <c r="AI72" i="57"/>
  <c r="AD72" i="57"/>
  <c r="AE72" i="57" s="1"/>
  <c r="AF72" i="57" s="1"/>
  <c r="AA72" i="57"/>
  <c r="Z72" i="57"/>
  <c r="G72" i="57"/>
  <c r="AY71" i="57"/>
  <c r="AR71" i="57"/>
  <c r="AQ71" i="57"/>
  <c r="AN71" i="57"/>
  <c r="AM71" i="57"/>
  <c r="AJ71" i="57"/>
  <c r="AI71" i="57"/>
  <c r="AD71" i="57"/>
  <c r="AE71" i="57" s="1"/>
  <c r="AF71" i="57" s="1"/>
  <c r="AA71" i="57"/>
  <c r="Z71" i="57"/>
  <c r="G71" i="57"/>
  <c r="AY70" i="57"/>
  <c r="AR70" i="57"/>
  <c r="AQ70" i="57"/>
  <c r="AN70" i="57"/>
  <c r="AM70" i="57"/>
  <c r="AJ70" i="57"/>
  <c r="AI70" i="57"/>
  <c r="AD70" i="57"/>
  <c r="AE70" i="57" s="1"/>
  <c r="AF70" i="57" s="1"/>
  <c r="AA70" i="57"/>
  <c r="Z70" i="57"/>
  <c r="G70" i="57"/>
  <c r="AY69" i="57"/>
  <c r="AR69" i="57"/>
  <c r="AQ69" i="57"/>
  <c r="AN69" i="57"/>
  <c r="AM69" i="57"/>
  <c r="AJ69" i="57"/>
  <c r="AI69" i="57"/>
  <c r="AD69" i="57"/>
  <c r="AE69" i="57" s="1"/>
  <c r="AF69" i="57" s="1"/>
  <c r="AA69" i="57"/>
  <c r="Z69" i="57"/>
  <c r="G69" i="57"/>
  <c r="AY68" i="57"/>
  <c r="AR68" i="57"/>
  <c r="AQ68" i="57"/>
  <c r="AN68" i="57"/>
  <c r="AM68" i="57"/>
  <c r="AJ68" i="57"/>
  <c r="AI68" i="57"/>
  <c r="AD68" i="57"/>
  <c r="AE68" i="57" s="1"/>
  <c r="AF68" i="57" s="1"/>
  <c r="AA68" i="57"/>
  <c r="Z68" i="57"/>
  <c r="G68" i="57"/>
  <c r="AY67" i="57"/>
  <c r="AR67" i="57"/>
  <c r="AQ67" i="57"/>
  <c r="AN67" i="57"/>
  <c r="AM67" i="57"/>
  <c r="AJ67" i="57"/>
  <c r="AI67" i="57"/>
  <c r="AE67" i="57"/>
  <c r="AF67" i="57" s="1"/>
  <c r="AD67" i="57"/>
  <c r="AA67" i="57"/>
  <c r="Z67" i="57"/>
  <c r="G67" i="57"/>
  <c r="AY66" i="57"/>
  <c r="AR66" i="57"/>
  <c r="AN66" i="57"/>
  <c r="AJ66" i="57"/>
  <c r="AD66" i="57"/>
  <c r="AE66" i="57" s="1"/>
  <c r="AF66" i="57" s="1"/>
  <c r="AA66" i="57"/>
  <c r="X66" i="57"/>
  <c r="G66" i="57"/>
  <c r="AY65" i="57"/>
  <c r="AR65" i="57"/>
  <c r="AQ65" i="57"/>
  <c r="AN65" i="57"/>
  <c r="AM65" i="57"/>
  <c r="AJ65" i="57"/>
  <c r="AI65" i="57"/>
  <c r="AE65" i="57"/>
  <c r="AF65" i="57" s="1"/>
  <c r="AD65" i="57"/>
  <c r="AA65" i="57"/>
  <c r="Z65" i="57"/>
  <c r="X65" i="57"/>
  <c r="G65" i="57"/>
  <c r="C65" i="57"/>
  <c r="B65" i="57"/>
  <c r="AY64" i="57"/>
  <c r="AR64" i="57"/>
  <c r="AN64" i="57"/>
  <c r="AJ64" i="57"/>
  <c r="AD64" i="57"/>
  <c r="AE64" i="57" s="1"/>
  <c r="AF64" i="57" s="1"/>
  <c r="AA64" i="57"/>
  <c r="G64" i="57"/>
  <c r="AY63" i="57"/>
  <c r="AR63" i="57"/>
  <c r="AQ63" i="57"/>
  <c r="AN63" i="57"/>
  <c r="AM63" i="57"/>
  <c r="AJ63" i="57"/>
  <c r="AI63" i="57"/>
  <c r="AD63" i="57"/>
  <c r="AE63" i="57" s="1"/>
  <c r="AF63" i="57" s="1"/>
  <c r="AA63" i="57"/>
  <c r="Z63" i="57"/>
  <c r="G63" i="57"/>
  <c r="AY62" i="57"/>
  <c r="AR62" i="57"/>
  <c r="AN62" i="57"/>
  <c r="AJ62" i="57"/>
  <c r="AD62" i="57"/>
  <c r="AE62" i="57" s="1"/>
  <c r="AA62" i="57"/>
  <c r="G62" i="57"/>
  <c r="AY61" i="57"/>
  <c r="P61" i="57"/>
  <c r="L61" i="57"/>
  <c r="AY60" i="57"/>
  <c r="AT60" i="57"/>
  <c r="AR60" i="57"/>
  <c r="AN60" i="57"/>
  <c r="AJ60" i="57"/>
  <c r="C60" i="57"/>
  <c r="AY59" i="57"/>
  <c r="P59" i="57"/>
  <c r="E59" i="57"/>
  <c r="AY58" i="57"/>
  <c r="G58" i="57"/>
  <c r="B58" i="57"/>
  <c r="AY57" i="57"/>
  <c r="O57" i="57"/>
  <c r="AY56" i="57"/>
  <c r="O56" i="57"/>
  <c r="J56" i="57"/>
  <c r="E56" i="57"/>
  <c r="B56" i="57"/>
  <c r="AY55" i="57"/>
  <c r="K55" i="57"/>
  <c r="C55" i="57"/>
  <c r="AY54" i="57"/>
  <c r="AC54" i="57"/>
  <c r="P54" i="57"/>
  <c r="J54" i="57"/>
  <c r="H54" i="57"/>
  <c r="B54" i="57"/>
  <c r="AY53" i="57"/>
  <c r="AY2" i="57"/>
  <c r="G696" i="62" l="1"/>
  <c r="K696" i="62"/>
  <c r="H696" i="62"/>
  <c r="AP33" i="61"/>
  <c r="U92" i="57"/>
  <c r="C88" i="57"/>
  <c r="C66" i="57"/>
  <c r="C90" i="57"/>
  <c r="C69" i="57"/>
  <c r="C64" i="57"/>
  <c r="C75" i="57"/>
  <c r="C77" i="57"/>
  <c r="C82" i="57"/>
  <c r="C86" i="57"/>
  <c r="C62" i="57"/>
  <c r="C63" i="57"/>
  <c r="C70" i="57"/>
  <c r="C72" i="57"/>
  <c r="C78" i="57"/>
  <c r="C79" i="57"/>
  <c r="C80" i="57"/>
  <c r="C83" i="57"/>
  <c r="C84" i="57"/>
  <c r="C87" i="57"/>
  <c r="C91" i="57"/>
  <c r="C67" i="57"/>
  <c r="C71" i="57"/>
  <c r="C73" i="57"/>
  <c r="C68" i="57"/>
  <c r="C74" i="57"/>
  <c r="C76" i="57"/>
  <c r="C81" i="57"/>
  <c r="C85" i="57"/>
  <c r="C89" i="57"/>
  <c r="B76" i="57"/>
  <c r="B81" i="57"/>
  <c r="B68" i="57"/>
  <c r="B74" i="57"/>
  <c r="B63" i="57"/>
  <c r="B70" i="57"/>
  <c r="B72" i="57"/>
  <c r="B78" i="57"/>
  <c r="B79" i="57"/>
  <c r="B80" i="57"/>
  <c r="B83" i="57"/>
  <c r="B84" i="57"/>
  <c r="B87" i="57"/>
  <c r="B91" i="57"/>
  <c r="B85" i="57"/>
  <c r="B67" i="57"/>
  <c r="B69" i="57"/>
  <c r="B75" i="57"/>
  <c r="B77" i="57"/>
  <c r="B82" i="57"/>
  <c r="B86" i="57"/>
  <c r="B71" i="57"/>
  <c r="B73" i="57"/>
  <c r="X62" i="57"/>
  <c r="X92" i="57" s="1"/>
  <c r="AC92" i="57"/>
  <c r="AC57" i="57" s="1"/>
  <c r="T58" i="57" s="1"/>
  <c r="AF62" i="57"/>
  <c r="X60" i="57" l="1"/>
  <c r="AI90" i="57" l="1"/>
  <c r="Z90" i="57"/>
  <c r="AM90" i="57"/>
  <c r="AM89" i="57"/>
  <c r="AI89" i="57"/>
  <c r="Z89" i="57"/>
  <c r="AI88" i="57"/>
  <c r="AM88" i="57"/>
  <c r="Z88" i="57"/>
  <c r="Z66" i="57"/>
  <c r="Z64" i="57"/>
  <c r="Z62" i="57"/>
  <c r="Y65" i="57"/>
  <c r="Y63" i="57"/>
  <c r="H62" i="57"/>
  <c r="AI66" i="57"/>
  <c r="AB64" i="57"/>
  <c r="AL64" i="57" s="1"/>
  <c r="AM62" i="57"/>
  <c r="AB82" i="57"/>
  <c r="AL82" i="57" s="1"/>
  <c r="AH81" i="57"/>
  <c r="AH73" i="57"/>
  <c r="AH90" i="57"/>
  <c r="AH82" i="57"/>
  <c r="AH74" i="57"/>
  <c r="Y64" i="57"/>
  <c r="AH89" i="57"/>
  <c r="AB89" i="57"/>
  <c r="AL89" i="57" s="1"/>
  <c r="Y84" i="57"/>
  <c r="Y76" i="57"/>
  <c r="Y68" i="57"/>
  <c r="AI62" i="57"/>
  <c r="Y88" i="57"/>
  <c r="AB81" i="57"/>
  <c r="AL81" i="57" s="1"/>
  <c r="Y80" i="57"/>
  <c r="AB74" i="57"/>
  <c r="AL74" i="57" s="1"/>
  <c r="AB73" i="57"/>
  <c r="AL73" i="57" s="1"/>
  <c r="Y72" i="57"/>
  <c r="AI64" i="57"/>
  <c r="AM66" i="57"/>
  <c r="AM64" i="57"/>
  <c r="AH64" i="57"/>
  <c r="AB62" i="57"/>
  <c r="AL62" i="57" s="1"/>
  <c r="AB70" i="57"/>
  <c r="AL70" i="57" s="1"/>
  <c r="AH63" i="57"/>
  <c r="Y86" i="57"/>
  <c r="AB66" i="57"/>
  <c r="AL66" i="57" s="1"/>
  <c r="AB78" i="57"/>
  <c r="AL78" i="57" s="1"/>
  <c r="Y70" i="57"/>
  <c r="AH88" i="57"/>
  <c r="Y62" i="57"/>
  <c r="Y73" i="57"/>
  <c r="Y81" i="57"/>
  <c r="Y89" i="57"/>
  <c r="Y71" i="57"/>
  <c r="AB76" i="57"/>
  <c r="AL76" i="57" s="1"/>
  <c r="Y87" i="57"/>
  <c r="AB90" i="57"/>
  <c r="AL90" i="57" s="1"/>
  <c r="AB71" i="57"/>
  <c r="AL71" i="57" s="1"/>
  <c r="AH75" i="57"/>
  <c r="AH91" i="57"/>
  <c r="Y82" i="57"/>
  <c r="AB72" i="57"/>
  <c r="AL72" i="57" s="1"/>
  <c r="Y83" i="57"/>
  <c r="AB63" i="57"/>
  <c r="AL63" i="57" s="1"/>
  <c r="AH71" i="57"/>
  <c r="AB83" i="57"/>
  <c r="AL83" i="57" s="1"/>
  <c r="AH77" i="57"/>
  <c r="Y66" i="57"/>
  <c r="AB86" i="57"/>
  <c r="AL86" i="57" s="1"/>
  <c r="AH85" i="57"/>
  <c r="Y78" i="57"/>
  <c r="AH62" i="57"/>
  <c r="AB77" i="57"/>
  <c r="AL77" i="57" s="1"/>
  <c r="Y90" i="57"/>
  <c r="Y85" i="57"/>
  <c r="AH70" i="57"/>
  <c r="AH78" i="57"/>
  <c r="AH86" i="57"/>
  <c r="Y75" i="57"/>
  <c r="AB80" i="57"/>
  <c r="AL80" i="57" s="1"/>
  <c r="Y91" i="57"/>
  <c r="AB65" i="57"/>
  <c r="AL65" i="57" s="1"/>
  <c r="AB75" i="57"/>
  <c r="AL75" i="57" s="1"/>
  <c r="AH79" i="57"/>
  <c r="AB91" i="57"/>
  <c r="AL91" i="57" s="1"/>
  <c r="AB87" i="57"/>
  <c r="AL87" i="57" s="1"/>
  <c r="AH66" i="57"/>
  <c r="Y69" i="57"/>
  <c r="AB69" i="57"/>
  <c r="AL69" i="57" s="1"/>
  <c r="AB85" i="57"/>
  <c r="AL85" i="57" s="1"/>
  <c r="Y77" i="57"/>
  <c r="AH65" i="57"/>
  <c r="Y74" i="57"/>
  <c r="Y67" i="57"/>
  <c r="AB88" i="57"/>
  <c r="AL88" i="57" s="1"/>
  <c r="AB67" i="57"/>
  <c r="AL67" i="57" s="1"/>
  <c r="AH87" i="57"/>
  <c r="AH72" i="57"/>
  <c r="AH69" i="57"/>
  <c r="AH80" i="57"/>
  <c r="AH68" i="57"/>
  <c r="AH76" i="57"/>
  <c r="AH84" i="57"/>
  <c r="AB68" i="57"/>
  <c r="AL68" i="57" s="1"/>
  <c r="Y79" i="57"/>
  <c r="AB84" i="57"/>
  <c r="AL84" i="57" s="1"/>
  <c r="AH67" i="57"/>
  <c r="AB79" i="57"/>
  <c r="AL79" i="57" s="1"/>
  <c r="AH83" i="57"/>
  <c r="Z93" i="57" l="1"/>
  <c r="AK79" i="57"/>
  <c r="AO79" i="57"/>
  <c r="AO80" i="57"/>
  <c r="AK80" i="57"/>
  <c r="AK63" i="57"/>
  <c r="AO63" i="57"/>
  <c r="AO73" i="57"/>
  <c r="AK73" i="57"/>
  <c r="AO88" i="57"/>
  <c r="AK88" i="57"/>
  <c r="AO76" i="57"/>
  <c r="AK76" i="57"/>
  <c r="AO70" i="57"/>
  <c r="AK70" i="57"/>
  <c r="AO74" i="57"/>
  <c r="AK74" i="57"/>
  <c r="AO69" i="57"/>
  <c r="AK69" i="57"/>
  <c r="AO91" i="57"/>
  <c r="AK91" i="57"/>
  <c r="AO77" i="57"/>
  <c r="AK77" i="57"/>
  <c r="AO86" i="57"/>
  <c r="AK86" i="57"/>
  <c r="AO90" i="57"/>
  <c r="AK90" i="57"/>
  <c r="AO81" i="57"/>
  <c r="AK81" i="57"/>
  <c r="AO64" i="57"/>
  <c r="AK64" i="57"/>
  <c r="AO68" i="57"/>
  <c r="AK68" i="57"/>
  <c r="AO67" i="57"/>
  <c r="AK67" i="57"/>
  <c r="AH93" i="57"/>
  <c r="AO75" i="57"/>
  <c r="AK75" i="57"/>
  <c r="AO78" i="57"/>
  <c r="AK78" i="57"/>
  <c r="AO89" i="57"/>
  <c r="AK89" i="57"/>
  <c r="AO82" i="57"/>
  <c r="AK82" i="57"/>
  <c r="AO84" i="57"/>
  <c r="AK84" i="57"/>
  <c r="AO85" i="57"/>
  <c r="AK85" i="57"/>
  <c r="AK87" i="57"/>
  <c r="AO87" i="57"/>
  <c r="AK65" i="57"/>
  <c r="AO65" i="57"/>
  <c r="AO83" i="57"/>
  <c r="AK83" i="57"/>
  <c r="AO72" i="57"/>
  <c r="AK72" i="57"/>
  <c r="AK71" i="57"/>
  <c r="AO71" i="57"/>
  <c r="Y93" i="57"/>
  <c r="AO66" i="57"/>
  <c r="AK66" i="57"/>
  <c r="AL93" i="57"/>
  <c r="AO62" i="57"/>
  <c r="AK62" i="57"/>
  <c r="AK93" i="57" l="1"/>
  <c r="AN93" i="57" s="1"/>
  <c r="AM93" i="57" s="1"/>
  <c r="AP65" i="57"/>
  <c r="D65" i="57" s="1"/>
  <c r="F65" i="57"/>
  <c r="AP68" i="57"/>
  <c r="D68" i="57" s="1"/>
  <c r="F68" i="57"/>
  <c r="F81" i="57"/>
  <c r="AP81" i="57"/>
  <c r="D81" i="57" s="1"/>
  <c r="AP86" i="57"/>
  <c r="D86" i="57" s="1"/>
  <c r="F86" i="57"/>
  <c r="AP91" i="57"/>
  <c r="D91" i="57" s="1"/>
  <c r="F91" i="57"/>
  <c r="AP74" i="57"/>
  <c r="D74" i="57" s="1"/>
  <c r="F74" i="57"/>
  <c r="AP76" i="57"/>
  <c r="D76" i="57" s="1"/>
  <c r="F76" i="57"/>
  <c r="F80" i="57"/>
  <c r="AP80" i="57"/>
  <c r="D80" i="57" s="1"/>
  <c r="AO93" i="57"/>
  <c r="F62" i="57"/>
  <c r="AP62" i="57"/>
  <c r="F72" i="57"/>
  <c r="AP72" i="57"/>
  <c r="D72" i="57" s="1"/>
  <c r="AP82" i="57"/>
  <c r="D82" i="57" s="1"/>
  <c r="F82" i="57"/>
  <c r="AP78" i="57"/>
  <c r="D78" i="57" s="1"/>
  <c r="F78" i="57"/>
  <c r="AP63" i="57"/>
  <c r="D63" i="57" s="1"/>
  <c r="F63" i="57"/>
  <c r="AP79" i="57"/>
  <c r="D79" i="57" s="1"/>
  <c r="F79" i="57"/>
  <c r="AP71" i="57"/>
  <c r="D71" i="57" s="1"/>
  <c r="F71" i="57"/>
  <c r="AP83" i="57"/>
  <c r="D83" i="57" s="1"/>
  <c r="F83" i="57"/>
  <c r="F84" i="57"/>
  <c r="AP84" i="57"/>
  <c r="D84" i="57" s="1"/>
  <c r="F89" i="57"/>
  <c r="AP89" i="57"/>
  <c r="D89" i="57" s="1"/>
  <c r="AP75" i="57"/>
  <c r="D75" i="57" s="1"/>
  <c r="F75" i="57"/>
  <c r="AP66" i="57"/>
  <c r="D66" i="57" s="1"/>
  <c r="F66" i="57"/>
  <c r="F73" i="57"/>
  <c r="AP73" i="57"/>
  <c r="D73" i="57" s="1"/>
  <c r="F85" i="57"/>
  <c r="AP85" i="57"/>
  <c r="D85" i="57" s="1"/>
  <c r="AP87" i="57"/>
  <c r="D87" i="57" s="1"/>
  <c r="F87" i="57"/>
  <c r="AP67" i="57"/>
  <c r="D67" i="57" s="1"/>
  <c r="F67" i="57"/>
  <c r="F64" i="57"/>
  <c r="AP64" i="57"/>
  <c r="D64" i="57" s="1"/>
  <c r="AP90" i="57"/>
  <c r="D90" i="57" s="1"/>
  <c r="F90" i="57"/>
  <c r="F77" i="57"/>
  <c r="AP77" i="57"/>
  <c r="D77" i="57" s="1"/>
  <c r="F69" i="57"/>
  <c r="AP69" i="57"/>
  <c r="D69" i="57" s="1"/>
  <c r="AP70" i="57"/>
  <c r="D70" i="57" s="1"/>
  <c r="F70" i="57"/>
  <c r="F88" i="57"/>
  <c r="AP88" i="57"/>
  <c r="D88" i="57" s="1"/>
  <c r="F93" i="57" l="1"/>
  <c r="E81" i="57"/>
  <c r="E88" i="57"/>
  <c r="E69" i="57"/>
  <c r="E70" i="57"/>
  <c r="E87" i="57"/>
  <c r="E73" i="57"/>
  <c r="E84" i="57"/>
  <c r="E74" i="57"/>
  <c r="E86" i="57"/>
  <c r="E68" i="57"/>
  <c r="E85" i="57"/>
  <c r="E89" i="57"/>
  <c r="E72" i="57"/>
  <c r="E71" i="57"/>
  <c r="E82" i="57"/>
  <c r="E77" i="57"/>
  <c r="E64" i="57"/>
  <c r="E66" i="57"/>
  <c r="E83" i="57"/>
  <c r="E79" i="57"/>
  <c r="E78" i="57"/>
  <c r="E80" i="57"/>
  <c r="AP93" i="57"/>
  <c r="AQ90" i="57" s="1"/>
  <c r="B90" i="57" s="1"/>
  <c r="D62" i="57"/>
  <c r="D93" i="57" s="1"/>
  <c r="E75" i="57"/>
  <c r="E63" i="57"/>
  <c r="E90" i="57"/>
  <c r="E67" i="57"/>
  <c r="E76" i="57"/>
  <c r="E91" i="57"/>
  <c r="E65" i="57"/>
  <c r="AQ88" i="57" l="1"/>
  <c r="B88" i="57" s="1"/>
  <c r="AQ89" i="57"/>
  <c r="B89" i="57" s="1"/>
  <c r="F60" i="57"/>
  <c r="D60" i="57"/>
  <c r="E62" i="57"/>
  <c r="AR93" i="57"/>
  <c r="AQ93" i="57" s="1"/>
  <c r="AQ66" i="57"/>
  <c r="B66" i="57" s="1"/>
  <c r="AQ64" i="57"/>
  <c r="B64" i="57" s="1"/>
  <c r="AQ62" i="57"/>
  <c r="B62" i="57" s="1"/>
  <c r="P57" i="57" l="1"/>
  <c r="X141" i="57" s="1"/>
  <c r="B93" i="57"/>
  <c r="C93" i="57"/>
  <c r="E93" i="57" s="1"/>
  <c r="C96" i="57" l="1"/>
  <c r="H96" i="57" s="1"/>
  <c r="O56" i="55" l="1"/>
  <c r="I56" i="55"/>
  <c r="AB53" i="55"/>
  <c r="AA53" i="55"/>
  <c r="Y53" i="55"/>
  <c r="E53" i="55"/>
  <c r="C53" i="55"/>
  <c r="B53" i="55"/>
  <c r="AB52" i="55"/>
  <c r="Y52" i="55"/>
  <c r="E52" i="55"/>
  <c r="C52" i="55"/>
  <c r="AB51" i="55"/>
  <c r="Y51" i="55"/>
  <c r="E51" i="55"/>
  <c r="C51" i="55"/>
  <c r="AB50" i="55"/>
  <c r="Y50" i="55"/>
  <c r="E50" i="55"/>
  <c r="C50" i="55"/>
  <c r="AB49" i="55"/>
  <c r="Y49" i="55"/>
  <c r="E49" i="55"/>
  <c r="C49" i="55"/>
  <c r="AB48" i="55"/>
  <c r="Y48" i="55"/>
  <c r="E48" i="55"/>
  <c r="C48" i="55"/>
  <c r="AB47" i="55"/>
  <c r="Y47" i="55"/>
  <c r="E47" i="55"/>
  <c r="C47" i="55"/>
  <c r="AB46" i="55"/>
  <c r="Y46" i="55"/>
  <c r="E46" i="55"/>
  <c r="C46" i="55"/>
  <c r="AB45" i="55"/>
  <c r="AA45" i="55"/>
  <c r="Y45" i="55"/>
  <c r="E45" i="55"/>
  <c r="C45" i="55"/>
  <c r="B45" i="55"/>
  <c r="AB44" i="55"/>
  <c r="AA44" i="55"/>
  <c r="Y44" i="55"/>
  <c r="E44" i="55"/>
  <c r="C44" i="55"/>
  <c r="B44" i="55"/>
  <c r="AB43" i="55"/>
  <c r="AA43" i="55"/>
  <c r="Y43" i="55"/>
  <c r="E43" i="55"/>
  <c r="C43" i="55"/>
  <c r="B43" i="55"/>
  <c r="AB42" i="55"/>
  <c r="AA42" i="55"/>
  <c r="Y42" i="55"/>
  <c r="E42" i="55"/>
  <c r="C42" i="55"/>
  <c r="B42" i="55"/>
  <c r="AB41" i="55"/>
  <c r="AA41" i="55"/>
  <c r="Y41" i="55"/>
  <c r="E41" i="55"/>
  <c r="C41" i="55"/>
  <c r="B41" i="55"/>
  <c r="AB40" i="55"/>
  <c r="Y40" i="55"/>
  <c r="E40" i="55"/>
  <c r="C40" i="55"/>
  <c r="AB39" i="55"/>
  <c r="Y39" i="55"/>
  <c r="E39" i="55"/>
  <c r="C39" i="55"/>
  <c r="AB38" i="55"/>
  <c r="AA38" i="55"/>
  <c r="E38" i="55"/>
  <c r="C38" i="55"/>
  <c r="B38" i="55"/>
  <c r="AB37" i="55"/>
  <c r="AA37" i="55"/>
  <c r="E37" i="55"/>
  <c r="C37" i="55"/>
  <c r="B37" i="55"/>
  <c r="AB36" i="55"/>
  <c r="AA36" i="55"/>
  <c r="E36" i="55"/>
  <c r="C36" i="55"/>
  <c r="B36" i="55"/>
  <c r="AB35" i="55"/>
  <c r="AA35" i="55"/>
  <c r="Y35" i="55"/>
  <c r="E35" i="55"/>
  <c r="C35" i="55"/>
  <c r="B35" i="55"/>
  <c r="AB34" i="55"/>
  <c r="Y34" i="55"/>
  <c r="E34" i="55"/>
  <c r="C34" i="55"/>
  <c r="AB33" i="55"/>
  <c r="AA33" i="55"/>
  <c r="Y33" i="55"/>
  <c r="E33" i="55"/>
  <c r="C33" i="55"/>
  <c r="B33" i="55"/>
  <c r="AB32" i="55"/>
  <c r="Y32" i="55"/>
  <c r="E32" i="55"/>
  <c r="C32" i="55"/>
  <c r="AB31" i="55"/>
  <c r="Y31" i="55"/>
  <c r="E31" i="55"/>
  <c r="C31" i="55"/>
  <c r="AB30" i="55"/>
  <c r="Y30" i="55"/>
  <c r="E30" i="55"/>
  <c r="C30" i="55"/>
  <c r="AB29" i="55"/>
  <c r="Y29" i="55"/>
  <c r="E29" i="55"/>
  <c r="C29" i="55"/>
  <c r="AB28" i="55"/>
  <c r="AA28" i="55"/>
  <c r="Y28" i="55"/>
  <c r="E28" i="55"/>
  <c r="C28" i="55"/>
  <c r="B28" i="55"/>
  <c r="AB27" i="55"/>
  <c r="AA27" i="55"/>
  <c r="Y27" i="55"/>
  <c r="E27" i="55"/>
  <c r="C27" i="55"/>
  <c r="B27" i="55"/>
  <c r="AB26" i="55"/>
  <c r="AA26" i="55"/>
  <c r="Y26" i="55"/>
  <c r="E26" i="55"/>
  <c r="C26" i="55"/>
  <c r="B26" i="55"/>
  <c r="AB25" i="55"/>
  <c r="AA25" i="55"/>
  <c r="Y25" i="55"/>
  <c r="E25" i="55"/>
  <c r="C25" i="55"/>
  <c r="B25" i="55"/>
  <c r="AB24" i="55"/>
  <c r="AA24" i="55"/>
  <c r="Y24" i="55"/>
  <c r="E24" i="55"/>
  <c r="C24" i="55"/>
  <c r="B24" i="55"/>
  <c r="AB23" i="55"/>
  <c r="AA23" i="55"/>
  <c r="Y23" i="55"/>
  <c r="E23" i="55"/>
  <c r="C23" i="55"/>
  <c r="B23" i="55"/>
  <c r="AB22" i="55"/>
  <c r="AA22" i="55"/>
  <c r="Y22" i="55"/>
  <c r="D22" i="55"/>
  <c r="AB21" i="55"/>
  <c r="AA21" i="55"/>
  <c r="Y21" i="55"/>
  <c r="E21" i="55"/>
  <c r="C21" i="55"/>
  <c r="B21" i="55"/>
  <c r="AB20" i="55"/>
  <c r="AA20" i="55"/>
  <c r="Y20" i="55"/>
  <c r="C20" i="55"/>
  <c r="B20" i="55"/>
  <c r="AB19" i="55"/>
  <c r="AA19" i="55"/>
  <c r="Y19" i="55"/>
  <c r="C19" i="55"/>
  <c r="B19" i="55"/>
  <c r="AB18" i="55"/>
  <c r="AA18" i="55"/>
  <c r="Y18" i="55"/>
  <c r="E18" i="55"/>
  <c r="C18" i="55"/>
  <c r="B18" i="55"/>
  <c r="AB17" i="55"/>
  <c r="AA17" i="55"/>
  <c r="Y17" i="55"/>
  <c r="C17" i="55"/>
  <c r="B17" i="55"/>
  <c r="AB16" i="55"/>
  <c r="AA16" i="55"/>
  <c r="Y16" i="55"/>
  <c r="E16" i="55"/>
  <c r="C16" i="55"/>
  <c r="B16" i="55"/>
  <c r="AB15" i="55"/>
  <c r="AA15" i="55"/>
  <c r="Y15" i="55"/>
  <c r="E15" i="55"/>
  <c r="C15" i="55"/>
  <c r="B15" i="55"/>
  <c r="AB14" i="55"/>
  <c r="AA14" i="55"/>
  <c r="Y14" i="55"/>
  <c r="E14" i="55"/>
  <c r="C14" i="55"/>
  <c r="B14" i="55"/>
  <c r="AB13" i="55"/>
  <c r="AA13" i="55"/>
  <c r="Y13" i="55"/>
  <c r="E13" i="55"/>
  <c r="C13" i="55"/>
  <c r="B13" i="55"/>
  <c r="AB12" i="55"/>
  <c r="AA12" i="55"/>
  <c r="Y12" i="55"/>
  <c r="E12" i="55"/>
  <c r="C12" i="55"/>
  <c r="B12" i="55"/>
  <c r="AB11" i="55"/>
  <c r="AA11" i="55"/>
  <c r="F9" i="55"/>
  <c r="R8" i="55"/>
  <c r="P8" i="55"/>
  <c r="L8" i="55"/>
  <c r="J8" i="55"/>
  <c r="Q7" i="55"/>
  <c r="N7" i="55"/>
  <c r="K7" i="55"/>
  <c r="H7" i="55"/>
  <c r="E7" i="55"/>
  <c r="B7" i="55"/>
  <c r="O6" i="55"/>
  <c r="I6" i="55"/>
  <c r="C6" i="55"/>
  <c r="N5" i="55"/>
  <c r="L5" i="55"/>
  <c r="H5" i="55"/>
  <c r="F5" i="55"/>
  <c r="B5" i="55"/>
  <c r="L8" i="44"/>
  <c r="I6" i="44"/>
  <c r="H7" i="44"/>
  <c r="K7" i="44"/>
  <c r="L10" i="44"/>
  <c r="J12" i="44"/>
  <c r="L12" i="44"/>
  <c r="H45" i="44"/>
  <c r="M147" i="54"/>
  <c r="N111" i="54"/>
  <c r="U102" i="54"/>
  <c r="B95" i="54"/>
  <c r="N59" i="54" s="1"/>
  <c r="B94" i="54"/>
  <c r="B93" i="54"/>
  <c r="H92" i="54"/>
  <c r="B92" i="54"/>
  <c r="N56" i="54" s="1"/>
  <c r="Z90" i="54"/>
  <c r="F81" i="54" s="1"/>
  <c r="S90" i="54"/>
  <c r="AO89" i="54"/>
  <c r="AK89" i="54"/>
  <c r="C89" i="54" s="1"/>
  <c r="AG89" i="54"/>
  <c r="AA89" i="54"/>
  <c r="AB89" i="54" s="1"/>
  <c r="AC89" i="54" s="1"/>
  <c r="X89" i="54"/>
  <c r="U89" i="54"/>
  <c r="G89" i="54"/>
  <c r="AO88" i="54"/>
  <c r="AK88" i="54"/>
  <c r="C88" i="54" s="1"/>
  <c r="AG88" i="54"/>
  <c r="AA88" i="54"/>
  <c r="AB88" i="54" s="1"/>
  <c r="AC88" i="54" s="1"/>
  <c r="X88" i="54"/>
  <c r="U88" i="54"/>
  <c r="G88" i="54"/>
  <c r="AO87" i="54"/>
  <c r="AK87" i="54"/>
  <c r="C87" i="54" s="1"/>
  <c r="AG87" i="54"/>
  <c r="AB87" i="54"/>
  <c r="AC87" i="54" s="1"/>
  <c r="AA87" i="54"/>
  <c r="X87" i="54"/>
  <c r="U87" i="54"/>
  <c r="G87" i="54"/>
  <c r="AO86" i="54"/>
  <c r="AN86" i="54"/>
  <c r="AK86" i="54"/>
  <c r="AJ86" i="54"/>
  <c r="B86" i="54" s="1"/>
  <c r="AG86" i="54"/>
  <c r="AF86" i="54"/>
  <c r="AA86" i="54"/>
  <c r="AB86" i="54" s="1"/>
  <c r="AC86" i="54" s="1"/>
  <c r="X86" i="54"/>
  <c r="W86" i="54"/>
  <c r="U86" i="54"/>
  <c r="G86" i="54"/>
  <c r="C86" i="54"/>
  <c r="AO85" i="54"/>
  <c r="AK85" i="54"/>
  <c r="AG85" i="54"/>
  <c r="AA85" i="54"/>
  <c r="AB85" i="54" s="1"/>
  <c r="AC85" i="54" s="1"/>
  <c r="X85" i="54"/>
  <c r="U85" i="54"/>
  <c r="G85" i="54"/>
  <c r="C85" i="54"/>
  <c r="N84" i="54"/>
  <c r="L84" i="54"/>
  <c r="AQ83" i="54"/>
  <c r="C83" i="54"/>
  <c r="N82" i="54"/>
  <c r="E82" i="54"/>
  <c r="R81" i="54"/>
  <c r="G81" i="54"/>
  <c r="Z80" i="54"/>
  <c r="F80" i="54" s="1"/>
  <c r="M79" i="54"/>
  <c r="J79" i="54"/>
  <c r="G79" i="54"/>
  <c r="B79" i="54"/>
  <c r="K78" i="54"/>
  <c r="C78" i="54"/>
  <c r="Z77" i="54"/>
  <c r="N77" i="54"/>
  <c r="H77" i="54"/>
  <c r="M63" i="54"/>
  <c r="N58" i="54"/>
  <c r="N57" i="54"/>
  <c r="N54" i="54"/>
  <c r="J52" i="54"/>
  <c r="J51" i="54"/>
  <c r="J49" i="54"/>
  <c r="N47" i="54"/>
  <c r="F47" i="54"/>
  <c r="N44" i="54"/>
  <c r="N41" i="54"/>
  <c r="F39" i="54"/>
  <c r="F40" i="54" s="1"/>
  <c r="N38" i="54"/>
  <c r="F37" i="54"/>
  <c r="N36" i="54"/>
  <c r="N34" i="54"/>
  <c r="N31" i="54"/>
  <c r="N28" i="54"/>
  <c r="L27" i="54"/>
  <c r="K27" i="54"/>
  <c r="J27" i="54"/>
  <c r="F27" i="54"/>
  <c r="F30" i="54" s="1"/>
  <c r="N25" i="54"/>
  <c r="N21" i="54"/>
  <c r="F21" i="54"/>
  <c r="F20" i="54"/>
  <c r="N19" i="54"/>
  <c r="N18" i="54"/>
  <c r="F18" i="54"/>
  <c r="N11" i="54"/>
  <c r="J3" i="54"/>
  <c r="I166" i="52"/>
  <c r="I165" i="52"/>
  <c r="I164" i="52"/>
  <c r="I163" i="52"/>
  <c r="I162" i="52"/>
  <c r="I161" i="52"/>
  <c r="I160" i="52"/>
  <c r="I159" i="52"/>
  <c r="I158" i="52"/>
  <c r="I157" i="52"/>
  <c r="I155" i="52"/>
  <c r="I153" i="52"/>
  <c r="I152" i="52"/>
  <c r="I151" i="52"/>
  <c r="I150" i="52"/>
  <c r="I149" i="52"/>
  <c r="I148" i="52"/>
  <c r="I147" i="52"/>
  <c r="I146" i="52"/>
  <c r="I144" i="52"/>
  <c r="I143" i="52"/>
  <c r="I142" i="52"/>
  <c r="I141" i="52"/>
  <c r="I139" i="52"/>
  <c r="I138" i="52"/>
  <c r="I137" i="52"/>
  <c r="I136" i="52"/>
  <c r="I135" i="52"/>
  <c r="I134" i="52"/>
  <c r="I133" i="52"/>
  <c r="I132" i="52"/>
  <c r="I131" i="52"/>
  <c r="I130" i="52"/>
  <c r="I128" i="52"/>
  <c r="I127" i="52"/>
  <c r="I126" i="52"/>
  <c r="I125" i="52"/>
  <c r="I124" i="52"/>
  <c r="I123" i="52"/>
  <c r="I121" i="52"/>
  <c r="I120" i="52"/>
  <c r="I119" i="52"/>
  <c r="I118" i="52"/>
  <c r="I117" i="52"/>
  <c r="I115" i="52"/>
  <c r="I114" i="52"/>
  <c r="I112" i="52"/>
  <c r="I111" i="52"/>
  <c r="I109" i="52"/>
  <c r="I108" i="52"/>
  <c r="I107" i="52"/>
  <c r="I106" i="52"/>
  <c r="I105" i="52"/>
  <c r="I104" i="52"/>
  <c r="I103" i="52"/>
  <c r="I102" i="52"/>
  <c r="I101" i="52"/>
  <c r="I100" i="52"/>
  <c r="I99" i="52"/>
  <c r="I98" i="52"/>
  <c r="I97" i="52"/>
  <c r="I96" i="52"/>
  <c r="I95" i="52"/>
  <c r="I93" i="52"/>
  <c r="I92" i="52"/>
  <c r="I91" i="52"/>
  <c r="I90" i="52"/>
  <c r="I89" i="52"/>
  <c r="I88" i="52"/>
  <c r="I87" i="52"/>
  <c r="I86" i="52"/>
  <c r="I85" i="52"/>
  <c r="I84" i="52"/>
  <c r="I82" i="52"/>
  <c r="I81" i="52"/>
  <c r="I80" i="52"/>
  <c r="I79" i="52"/>
  <c r="I78" i="52"/>
  <c r="I77" i="52"/>
  <c r="I76" i="52"/>
  <c r="I74" i="52"/>
  <c r="I73" i="52"/>
  <c r="I72" i="52"/>
  <c r="I71" i="52"/>
  <c r="I70" i="52"/>
  <c r="I68" i="52"/>
  <c r="I67" i="52"/>
  <c r="I66" i="52"/>
  <c r="I65" i="52"/>
  <c r="I64" i="52"/>
  <c r="I63" i="52"/>
  <c r="I62" i="52"/>
  <c r="I59" i="52"/>
  <c r="I58" i="52"/>
  <c r="I57" i="52"/>
  <c r="I56" i="52"/>
  <c r="I55" i="52"/>
  <c r="I54" i="52"/>
  <c r="I52" i="52"/>
  <c r="I51" i="52"/>
  <c r="I50" i="52"/>
  <c r="I49" i="52"/>
  <c r="I48" i="52"/>
  <c r="I47" i="52"/>
  <c r="I46" i="52"/>
  <c r="I45" i="52"/>
  <c r="I44" i="52"/>
  <c r="I43" i="52"/>
  <c r="I42" i="52"/>
  <c r="I40" i="52"/>
  <c r="I38" i="52"/>
  <c r="I37" i="52"/>
  <c r="I36" i="52"/>
  <c r="I35" i="52"/>
  <c r="I34" i="52"/>
  <c r="I33" i="52"/>
  <c r="I32" i="52"/>
  <c r="I31" i="52"/>
  <c r="I30" i="52"/>
  <c r="I29" i="52"/>
  <c r="I28" i="52"/>
  <c r="I27" i="52"/>
  <c r="I26" i="52"/>
  <c r="I25" i="52"/>
  <c r="I24" i="52"/>
  <c r="I22" i="52"/>
  <c r="I21" i="52"/>
  <c r="I20" i="52"/>
  <c r="I19" i="52"/>
  <c r="I18" i="52"/>
  <c r="I17" i="52"/>
  <c r="I16" i="52"/>
  <c r="I15" i="52"/>
  <c r="I14" i="52"/>
  <c r="I13" i="52"/>
  <c r="I12" i="52"/>
  <c r="I11" i="52"/>
  <c r="I10" i="52"/>
  <c r="I8" i="52"/>
  <c r="B5" i="52"/>
  <c r="C2" i="52"/>
  <c r="AX15" i="49"/>
  <c r="V126" i="49"/>
  <c r="W115" i="49"/>
  <c r="S113" i="49"/>
  <c r="S112" i="49"/>
  <c r="S110" i="49"/>
  <c r="W108" i="49"/>
  <c r="W106" i="49"/>
  <c r="W103" i="49"/>
  <c r="W100" i="49"/>
  <c r="W98" i="49"/>
  <c r="W96" i="49"/>
  <c r="W93" i="49"/>
  <c r="W91" i="49"/>
  <c r="U90" i="49"/>
  <c r="T90" i="49"/>
  <c r="S90" i="49"/>
  <c r="W88" i="49"/>
  <c r="W84" i="49"/>
  <c r="W82" i="49"/>
  <c r="W81" i="49"/>
  <c r="W74" i="49"/>
  <c r="AC72" i="49"/>
  <c r="AD72" i="49" s="1"/>
  <c r="AC71" i="49"/>
  <c r="AD71" i="49" s="1"/>
  <c r="AC70" i="49"/>
  <c r="AD70" i="49" s="1"/>
  <c r="AC69" i="49"/>
  <c r="AD69" i="49" s="1"/>
  <c r="AC68" i="49"/>
  <c r="AD68" i="49" s="1"/>
  <c r="Z68" i="49"/>
  <c r="S66" i="49"/>
  <c r="H17" i="49" s="1"/>
  <c r="AX64" i="49"/>
  <c r="B64" i="49"/>
  <c r="W121" i="49" s="1"/>
  <c r="AX63" i="49"/>
  <c r="B63" i="49"/>
  <c r="W119" i="49" s="1"/>
  <c r="AX62" i="49"/>
  <c r="B62" i="49"/>
  <c r="W118" i="49" s="1"/>
  <c r="AX61" i="49"/>
  <c r="H61" i="49"/>
  <c r="B61" i="49"/>
  <c r="W117" i="49" s="1"/>
  <c r="AX60" i="49"/>
  <c r="AX59" i="49"/>
  <c r="U59" i="49"/>
  <c r="AX58" i="49"/>
  <c r="AQ58" i="49"/>
  <c r="AP58" i="49"/>
  <c r="AM58" i="49"/>
  <c r="AL58" i="49"/>
  <c r="AI58" i="49"/>
  <c r="AH58" i="49"/>
  <c r="AC58" i="49"/>
  <c r="AD58" i="49" s="1"/>
  <c r="AE58" i="49" s="1"/>
  <c r="Z58" i="49"/>
  <c r="Y58" i="49"/>
  <c r="W58" i="49"/>
  <c r="G58" i="49"/>
  <c r="AX57" i="49"/>
  <c r="AQ57" i="49"/>
  <c r="AP57" i="49"/>
  <c r="AM57" i="49"/>
  <c r="AL57" i="49"/>
  <c r="AI57" i="49"/>
  <c r="AH57" i="49"/>
  <c r="AC57" i="49"/>
  <c r="AD57" i="49" s="1"/>
  <c r="AE57" i="49" s="1"/>
  <c r="Z57" i="49"/>
  <c r="Y57" i="49"/>
  <c r="W57" i="49"/>
  <c r="G57" i="49"/>
  <c r="AX56" i="49"/>
  <c r="AQ56" i="49"/>
  <c r="AP56" i="49"/>
  <c r="AM56" i="49"/>
  <c r="AL56" i="49"/>
  <c r="AI56" i="49"/>
  <c r="AH56" i="49"/>
  <c r="AC56" i="49"/>
  <c r="AD56" i="49" s="1"/>
  <c r="AE56" i="49" s="1"/>
  <c r="Z56" i="49"/>
  <c r="Y56" i="49"/>
  <c r="W56" i="49"/>
  <c r="G56" i="49"/>
  <c r="AX55" i="49"/>
  <c r="AQ55" i="49"/>
  <c r="AP55" i="49"/>
  <c r="AM55" i="49"/>
  <c r="AL55" i="49"/>
  <c r="AI55" i="49"/>
  <c r="AH55" i="49"/>
  <c r="AC55" i="49"/>
  <c r="AD55" i="49" s="1"/>
  <c r="AE55" i="49" s="1"/>
  <c r="Z55" i="49"/>
  <c r="Y55" i="49"/>
  <c r="W55" i="49"/>
  <c r="G55" i="49"/>
  <c r="AX54" i="49"/>
  <c r="AQ54" i="49"/>
  <c r="AP54" i="49"/>
  <c r="AM54" i="49"/>
  <c r="AL54" i="49"/>
  <c r="AI54" i="49"/>
  <c r="AH54" i="49"/>
  <c r="AC54" i="49"/>
  <c r="AD54" i="49" s="1"/>
  <c r="AE54" i="49" s="1"/>
  <c r="Z54" i="49"/>
  <c r="Y54" i="49"/>
  <c r="W54" i="49"/>
  <c r="G54" i="49"/>
  <c r="AX53" i="49"/>
  <c r="AQ53" i="49"/>
  <c r="AP53" i="49"/>
  <c r="AM53" i="49"/>
  <c r="AL53" i="49"/>
  <c r="AI53" i="49"/>
  <c r="AH53" i="49"/>
  <c r="AC53" i="49"/>
  <c r="AD53" i="49" s="1"/>
  <c r="AE53" i="49" s="1"/>
  <c r="Z53" i="49"/>
  <c r="Y53" i="49"/>
  <c r="W53" i="49"/>
  <c r="G53" i="49"/>
  <c r="AX52" i="49"/>
  <c r="AQ52" i="49"/>
  <c r="AP52" i="49"/>
  <c r="AM52" i="49"/>
  <c r="AL52" i="49"/>
  <c r="AI52" i="49"/>
  <c r="AH52" i="49"/>
  <c r="AC52" i="49"/>
  <c r="AD52" i="49" s="1"/>
  <c r="AE52" i="49" s="1"/>
  <c r="Z52" i="49"/>
  <c r="Y52" i="49"/>
  <c r="W52" i="49"/>
  <c r="G52" i="49"/>
  <c r="AX51" i="49"/>
  <c r="AQ51" i="49"/>
  <c r="AP51" i="49"/>
  <c r="AM51" i="49"/>
  <c r="AL51" i="49"/>
  <c r="AI51" i="49"/>
  <c r="AH51" i="49"/>
  <c r="AC51" i="49"/>
  <c r="AD51" i="49" s="1"/>
  <c r="AE51" i="49" s="1"/>
  <c r="Z51" i="49"/>
  <c r="Y51" i="49"/>
  <c r="W51" i="49"/>
  <c r="G51" i="49"/>
  <c r="AX50" i="49"/>
  <c r="AQ50" i="49"/>
  <c r="AP50" i="49"/>
  <c r="AM50" i="49"/>
  <c r="AL50" i="49"/>
  <c r="AI50" i="49"/>
  <c r="AH50" i="49"/>
  <c r="AC50" i="49"/>
  <c r="AD50" i="49" s="1"/>
  <c r="AE50" i="49" s="1"/>
  <c r="Z50" i="49"/>
  <c r="Y50" i="49"/>
  <c r="W50" i="49"/>
  <c r="G50" i="49"/>
  <c r="AX49" i="49"/>
  <c r="AQ49" i="49"/>
  <c r="AP49" i="49"/>
  <c r="AM49" i="49"/>
  <c r="AL49" i="49"/>
  <c r="AI49" i="49"/>
  <c r="AH49" i="49"/>
  <c r="AC49" i="49"/>
  <c r="AD49" i="49" s="1"/>
  <c r="AE49" i="49" s="1"/>
  <c r="Z49" i="49"/>
  <c r="Y49" i="49"/>
  <c r="W49" i="49"/>
  <c r="G49" i="49"/>
  <c r="AX48" i="49"/>
  <c r="AQ48" i="49"/>
  <c r="AP48" i="49"/>
  <c r="AM48" i="49"/>
  <c r="AL48" i="49"/>
  <c r="AI48" i="49"/>
  <c r="C48" i="49" s="1"/>
  <c r="AH48" i="49"/>
  <c r="AC48" i="49"/>
  <c r="AD48" i="49" s="1"/>
  <c r="AE48" i="49" s="1"/>
  <c r="Z48" i="49"/>
  <c r="Y48" i="49"/>
  <c r="W48" i="49"/>
  <c r="G48" i="49"/>
  <c r="AX47" i="49"/>
  <c r="AQ47" i="49"/>
  <c r="AP47" i="49"/>
  <c r="AM47" i="49"/>
  <c r="AL47" i="49"/>
  <c r="AI47" i="49"/>
  <c r="AH47" i="49"/>
  <c r="AC47" i="49"/>
  <c r="AD47" i="49" s="1"/>
  <c r="AE47" i="49" s="1"/>
  <c r="Z47" i="49"/>
  <c r="Y47" i="49"/>
  <c r="W47" i="49"/>
  <c r="G47" i="49"/>
  <c r="AX46" i="49"/>
  <c r="AQ46" i="49"/>
  <c r="AP46" i="49"/>
  <c r="AM46" i="49"/>
  <c r="AL46" i="49"/>
  <c r="AI46" i="49"/>
  <c r="AH46" i="49"/>
  <c r="AC46" i="49"/>
  <c r="AD46" i="49" s="1"/>
  <c r="AE46" i="49" s="1"/>
  <c r="Z46" i="49"/>
  <c r="Y46" i="49"/>
  <c r="W46" i="49"/>
  <c r="G46" i="49"/>
  <c r="AX45" i="49"/>
  <c r="AQ45" i="49"/>
  <c r="AP45" i="49"/>
  <c r="AM45" i="49"/>
  <c r="AL45" i="49"/>
  <c r="AI45" i="49"/>
  <c r="AH45" i="49"/>
  <c r="AC45" i="49"/>
  <c r="AD45" i="49" s="1"/>
  <c r="AE45" i="49" s="1"/>
  <c r="Z45" i="49"/>
  <c r="Y45" i="49"/>
  <c r="W45" i="49"/>
  <c r="G45" i="49"/>
  <c r="AX44" i="49"/>
  <c r="AQ44" i="49"/>
  <c r="AP44" i="49"/>
  <c r="AM44" i="49"/>
  <c r="AL44" i="49"/>
  <c r="AI44" i="49"/>
  <c r="AH44" i="49"/>
  <c r="AC44" i="49"/>
  <c r="AD44" i="49" s="1"/>
  <c r="AE44" i="49" s="1"/>
  <c r="Z44" i="49"/>
  <c r="Y44" i="49"/>
  <c r="W44" i="49"/>
  <c r="G44" i="49"/>
  <c r="AX43" i="49"/>
  <c r="AQ43" i="49"/>
  <c r="AP43" i="49"/>
  <c r="AM43" i="49"/>
  <c r="AL43" i="49"/>
  <c r="AI43" i="49"/>
  <c r="AH43" i="49"/>
  <c r="AC43" i="49"/>
  <c r="AD43" i="49" s="1"/>
  <c r="AE43" i="49" s="1"/>
  <c r="Z43" i="49"/>
  <c r="Y43" i="49"/>
  <c r="W43" i="49"/>
  <c r="G43" i="49"/>
  <c r="AX42" i="49"/>
  <c r="AQ42" i="49"/>
  <c r="AP42" i="49"/>
  <c r="AM42" i="49"/>
  <c r="AL42" i="49"/>
  <c r="AI42" i="49"/>
  <c r="AH42" i="49"/>
  <c r="AC42" i="49"/>
  <c r="AD42" i="49" s="1"/>
  <c r="AE42" i="49" s="1"/>
  <c r="Z42" i="49"/>
  <c r="Y42" i="49"/>
  <c r="W42" i="49"/>
  <c r="G42" i="49"/>
  <c r="AX41" i="49"/>
  <c r="AQ41" i="49"/>
  <c r="AP41" i="49"/>
  <c r="AM41" i="49"/>
  <c r="AL41" i="49"/>
  <c r="AI41" i="49"/>
  <c r="AH41" i="49"/>
  <c r="AC41" i="49"/>
  <c r="AD41" i="49" s="1"/>
  <c r="AE41" i="49" s="1"/>
  <c r="Z41" i="49"/>
  <c r="Y41" i="49"/>
  <c r="W41" i="49"/>
  <c r="G41" i="49"/>
  <c r="AX40" i="49"/>
  <c r="AQ40" i="49"/>
  <c r="AP40" i="49"/>
  <c r="AM40" i="49"/>
  <c r="AL40" i="49"/>
  <c r="AI40" i="49"/>
  <c r="AH40" i="49"/>
  <c r="AC40" i="49"/>
  <c r="AD40" i="49" s="1"/>
  <c r="AE40" i="49" s="1"/>
  <c r="Z40" i="49"/>
  <c r="Y40" i="49"/>
  <c r="W40" i="49"/>
  <c r="G40" i="49"/>
  <c r="AX39" i="49"/>
  <c r="AQ39" i="49"/>
  <c r="AP39" i="49"/>
  <c r="AM39" i="49"/>
  <c r="AL39" i="49"/>
  <c r="AI39" i="49"/>
  <c r="AH39" i="49"/>
  <c r="AC39" i="49"/>
  <c r="AD39" i="49" s="1"/>
  <c r="AE39" i="49" s="1"/>
  <c r="Z39" i="49"/>
  <c r="Y39" i="49"/>
  <c r="W39" i="49"/>
  <c r="G39" i="49"/>
  <c r="AX38" i="49"/>
  <c r="AQ38" i="49"/>
  <c r="AP38" i="49"/>
  <c r="AM38" i="49"/>
  <c r="AL38" i="49"/>
  <c r="AI38" i="49"/>
  <c r="AH38" i="49"/>
  <c r="AC38" i="49"/>
  <c r="AD38" i="49" s="1"/>
  <c r="AE38" i="49" s="1"/>
  <c r="Z38" i="49"/>
  <c r="Y38" i="49"/>
  <c r="W38" i="49"/>
  <c r="G38" i="49"/>
  <c r="AX37" i="49"/>
  <c r="AQ37" i="49"/>
  <c r="AP37" i="49"/>
  <c r="AM37" i="49"/>
  <c r="AL37" i="49"/>
  <c r="AI37" i="49"/>
  <c r="AH37" i="49"/>
  <c r="AC37" i="49"/>
  <c r="AD37" i="49" s="1"/>
  <c r="AE37" i="49" s="1"/>
  <c r="Z37" i="49"/>
  <c r="Y37" i="49"/>
  <c r="W37" i="49"/>
  <c r="G37" i="49"/>
  <c r="AX36" i="49"/>
  <c r="AQ36" i="49"/>
  <c r="AP36" i="49"/>
  <c r="AM36" i="49"/>
  <c r="AL36" i="49"/>
  <c r="AI36" i="49"/>
  <c r="AH36" i="49"/>
  <c r="AC36" i="49"/>
  <c r="AD36" i="49" s="1"/>
  <c r="AE36" i="49" s="1"/>
  <c r="Z36" i="49"/>
  <c r="Y36" i="49"/>
  <c r="W36" i="49"/>
  <c r="G36" i="49"/>
  <c r="AX35" i="49"/>
  <c r="AQ35" i="49"/>
  <c r="AP35" i="49"/>
  <c r="AM35" i="49"/>
  <c r="AL35" i="49"/>
  <c r="AI35" i="49"/>
  <c r="AH35" i="49"/>
  <c r="AC35" i="49"/>
  <c r="AD35" i="49" s="1"/>
  <c r="AE35" i="49" s="1"/>
  <c r="Z35" i="49"/>
  <c r="Y35" i="49"/>
  <c r="W35" i="49"/>
  <c r="G35" i="49"/>
  <c r="AX34" i="49"/>
  <c r="AQ34" i="49"/>
  <c r="AP34" i="49"/>
  <c r="AM34" i="49"/>
  <c r="AL34" i="49"/>
  <c r="AI34" i="49"/>
  <c r="AH34" i="49"/>
  <c r="B34" i="49" s="1"/>
  <c r="AC34" i="49"/>
  <c r="AD34" i="49" s="1"/>
  <c r="AE34" i="49" s="1"/>
  <c r="Z34" i="49"/>
  <c r="Y34" i="49"/>
  <c r="W34" i="49"/>
  <c r="G34" i="49"/>
  <c r="AX33" i="49"/>
  <c r="AQ33" i="49"/>
  <c r="AM33" i="49"/>
  <c r="AI33" i="49"/>
  <c r="AC33" i="49"/>
  <c r="AD33" i="49" s="1"/>
  <c r="AE33" i="49" s="1"/>
  <c r="Z33" i="49"/>
  <c r="W33" i="49"/>
  <c r="G33" i="49"/>
  <c r="AX32" i="49"/>
  <c r="AQ32" i="49"/>
  <c r="AP32" i="49"/>
  <c r="AM32" i="49"/>
  <c r="AL32" i="49"/>
  <c r="AI32" i="49"/>
  <c r="AH32" i="49"/>
  <c r="AC32" i="49"/>
  <c r="AD32" i="49" s="1"/>
  <c r="AE32" i="49" s="1"/>
  <c r="Z32" i="49"/>
  <c r="Y32" i="49"/>
  <c r="W32" i="49"/>
  <c r="G32" i="49"/>
  <c r="AX31" i="49"/>
  <c r="AQ31" i="49"/>
  <c r="AM31" i="49"/>
  <c r="AI31" i="49"/>
  <c r="AC31" i="49"/>
  <c r="AD31" i="49" s="1"/>
  <c r="AE31" i="49" s="1"/>
  <c r="Z31" i="49"/>
  <c r="W31" i="49"/>
  <c r="G31" i="49"/>
  <c r="AX30" i="49"/>
  <c r="AQ30" i="49"/>
  <c r="AP30" i="49"/>
  <c r="AM30" i="49"/>
  <c r="AL30" i="49"/>
  <c r="AI30" i="49"/>
  <c r="AH30" i="49"/>
  <c r="AC30" i="49"/>
  <c r="AD30" i="49" s="1"/>
  <c r="AE30" i="49" s="1"/>
  <c r="Z30" i="49"/>
  <c r="Y30" i="49"/>
  <c r="W30" i="49"/>
  <c r="G30" i="49"/>
  <c r="AX29" i="49"/>
  <c r="AQ29" i="49"/>
  <c r="AM29" i="49"/>
  <c r="AI29" i="49"/>
  <c r="AC29" i="49"/>
  <c r="AD29" i="49" s="1"/>
  <c r="Z29" i="49"/>
  <c r="W29" i="49"/>
  <c r="G29" i="49"/>
  <c r="AX28" i="49"/>
  <c r="P28" i="49"/>
  <c r="L28" i="49"/>
  <c r="AX27" i="49"/>
  <c r="AS27" i="49"/>
  <c r="AQ27" i="49"/>
  <c r="AM27" i="49"/>
  <c r="AI27" i="49"/>
  <c r="C27" i="49"/>
  <c r="AX26" i="49"/>
  <c r="P26" i="49"/>
  <c r="E26" i="49"/>
  <c r="AX25" i="49"/>
  <c r="G25" i="49"/>
  <c r="B25" i="49"/>
  <c r="AX24" i="49"/>
  <c r="O24" i="49"/>
  <c r="AX23" i="49"/>
  <c r="O23" i="49"/>
  <c r="J23" i="49"/>
  <c r="E23" i="49"/>
  <c r="B23" i="49"/>
  <c r="AX22" i="49"/>
  <c r="K22" i="49"/>
  <c r="C22" i="49"/>
  <c r="AX21" i="49"/>
  <c r="AB21" i="49"/>
  <c r="P21" i="49"/>
  <c r="J21" i="49"/>
  <c r="H21" i="49"/>
  <c r="B21" i="49"/>
  <c r="AX20" i="49"/>
  <c r="W37" i="55" l="1"/>
  <c r="W38" i="55" s="1"/>
  <c r="W55" i="55" s="1"/>
  <c r="F29" i="54"/>
  <c r="U90" i="54"/>
  <c r="C49" i="49"/>
  <c r="C50" i="49"/>
  <c r="C51" i="49"/>
  <c r="C52" i="49"/>
  <c r="C53" i="49"/>
  <c r="C54" i="49"/>
  <c r="C55" i="49"/>
  <c r="C56" i="49"/>
  <c r="C57" i="49"/>
  <c r="C58" i="49"/>
  <c r="C30" i="49"/>
  <c r="C31" i="49"/>
  <c r="C34" i="49"/>
  <c r="C35" i="49"/>
  <c r="C36" i="49"/>
  <c r="C37" i="49"/>
  <c r="C38" i="49"/>
  <c r="C39" i="49"/>
  <c r="C40" i="49"/>
  <c r="C41" i="49"/>
  <c r="C42" i="49"/>
  <c r="C43" i="49"/>
  <c r="C44" i="49"/>
  <c r="C45" i="49"/>
  <c r="C46" i="49"/>
  <c r="C47" i="49"/>
  <c r="C29" i="49"/>
  <c r="B36" i="49"/>
  <c r="B37" i="49"/>
  <c r="B38" i="49"/>
  <c r="B39" i="49"/>
  <c r="B40" i="49"/>
  <c r="B41" i="49"/>
  <c r="B42" i="49"/>
  <c r="B43" i="49"/>
  <c r="B44" i="49"/>
  <c r="B45" i="49"/>
  <c r="B46" i="49"/>
  <c r="B47" i="49"/>
  <c r="B48" i="49"/>
  <c r="B49" i="49"/>
  <c r="B50" i="49"/>
  <c r="B51" i="49"/>
  <c r="B52" i="49"/>
  <c r="B53" i="49"/>
  <c r="B54" i="49"/>
  <c r="B55" i="49"/>
  <c r="B56" i="49"/>
  <c r="B57" i="49"/>
  <c r="B58" i="49"/>
  <c r="B30" i="49"/>
  <c r="B32" i="49"/>
  <c r="C32" i="49"/>
  <c r="C33" i="49"/>
  <c r="B35" i="49"/>
  <c r="W59" i="49"/>
  <c r="AB59" i="49"/>
  <c r="AB24" i="49" s="1"/>
  <c r="T25" i="49" s="1"/>
  <c r="AE29" i="49"/>
  <c r="Y38" i="55" l="1"/>
  <c r="Y55" i="55" s="1"/>
  <c r="Y9" i="55" s="1"/>
  <c r="B47" i="55"/>
  <c r="Z37" i="55"/>
  <c r="D20" i="55"/>
  <c r="Z50" i="55"/>
  <c r="Z41" i="55"/>
  <c r="Z16" i="55"/>
  <c r="AA31" i="55"/>
  <c r="Z49" i="55"/>
  <c r="B31" i="55"/>
  <c r="AA52" i="55"/>
  <c r="AA48" i="55"/>
  <c r="AA39" i="55"/>
  <c r="B32" i="55"/>
  <c r="D31" i="55"/>
  <c r="D30" i="55"/>
  <c r="U83" i="54"/>
  <c r="W27" i="49"/>
  <c r="D39" i="55" l="1"/>
  <c r="D41" i="55"/>
  <c r="D25" i="55"/>
  <c r="D48" i="55"/>
  <c r="D18" i="55"/>
  <c r="D15" i="55"/>
  <c r="D53" i="55"/>
  <c r="Z22" i="55"/>
  <c r="Z26" i="55"/>
  <c r="Z30" i="55"/>
  <c r="Z34" i="55"/>
  <c r="Z32" i="55"/>
  <c r="D47" i="55"/>
  <c r="D52" i="55"/>
  <c r="D44" i="55"/>
  <c r="Z25" i="55"/>
  <c r="Z29" i="55"/>
  <c r="D24" i="55"/>
  <c r="D27" i="55"/>
  <c r="D49" i="55"/>
  <c r="D26" i="55"/>
  <c r="D34" i="55"/>
  <c r="D17" i="55"/>
  <c r="Z23" i="55"/>
  <c r="Z27" i="55"/>
  <c r="Z31" i="55"/>
  <c r="Z35" i="55"/>
  <c r="D12" i="55"/>
  <c r="D40" i="55"/>
  <c r="D33" i="55"/>
  <c r="D51" i="55"/>
  <c r="D35" i="55"/>
  <c r="D37" i="55" s="1"/>
  <c r="D38" i="55" s="1"/>
  <c r="D42" i="55"/>
  <c r="Z17" i="55"/>
  <c r="Z24" i="55"/>
  <c r="Z28" i="55"/>
  <c r="D19" i="55"/>
  <c r="D29" i="55"/>
  <c r="D13" i="55"/>
  <c r="Z18" i="55"/>
  <c r="Z33" i="55"/>
  <c r="D43" i="55"/>
  <c r="B34" i="55"/>
  <c r="AA49" i="55"/>
  <c r="Z45" i="55"/>
  <c r="B29" i="55"/>
  <c r="Z52" i="55"/>
  <c r="B39" i="55"/>
  <c r="D46" i="55"/>
  <c r="Z38" i="55"/>
  <c r="D28" i="55"/>
  <c r="Z12" i="55"/>
  <c r="Z40" i="55"/>
  <c r="AA46" i="55"/>
  <c r="AA50" i="55"/>
  <c r="Z15" i="55"/>
  <c r="Z46" i="55"/>
  <c r="AA29" i="55"/>
  <c r="AA34" i="55"/>
  <c r="B30" i="55"/>
  <c r="Z44" i="55"/>
  <c r="Z53" i="55"/>
  <c r="Z21" i="55"/>
  <c r="B40" i="55"/>
  <c r="B49" i="55"/>
  <c r="Z19" i="55"/>
  <c r="D50" i="55"/>
  <c r="B51" i="55"/>
  <c r="D23" i="55"/>
  <c r="D45" i="55"/>
  <c r="AA40" i="55"/>
  <c r="Z11" i="55"/>
  <c r="Z51" i="55"/>
  <c r="AA32" i="55"/>
  <c r="Z42" i="55"/>
  <c r="Z20" i="55"/>
  <c r="B48" i="55"/>
  <c r="B52" i="55"/>
  <c r="D14" i="55"/>
  <c r="D16" i="55"/>
  <c r="Z14" i="55"/>
  <c r="Z43" i="55"/>
  <c r="AA47" i="55"/>
  <c r="AA51" i="55"/>
  <c r="D21" i="55"/>
  <c r="Z48" i="55"/>
  <c r="AA30" i="55"/>
  <c r="AA55" i="55" s="1"/>
  <c r="Z13" i="55"/>
  <c r="Z39" i="55"/>
  <c r="Z47" i="55"/>
  <c r="X17" i="55"/>
  <c r="X19" i="55" s="1"/>
  <c r="Z36" i="55"/>
  <c r="B46" i="55"/>
  <c r="B50" i="55"/>
  <c r="D32" i="55"/>
  <c r="E17" i="55"/>
  <c r="F22" i="55" s="1"/>
  <c r="Z55" i="55"/>
  <c r="H85" i="54"/>
  <c r="W89" i="54"/>
  <c r="W85" i="54"/>
  <c r="W88" i="54"/>
  <c r="W87" i="54"/>
  <c r="Y89" i="54"/>
  <c r="V88" i="54"/>
  <c r="V85" i="54"/>
  <c r="V91" i="54" s="1"/>
  <c r="V89" i="54"/>
  <c r="Y87" i="54"/>
  <c r="V86" i="54"/>
  <c r="Y85" i="54"/>
  <c r="Y86" i="54"/>
  <c r="Y88" i="54"/>
  <c r="V87" i="54"/>
  <c r="X49" i="49"/>
  <c r="X47" i="49"/>
  <c r="X45" i="49"/>
  <c r="X43" i="49"/>
  <c r="X58" i="49"/>
  <c r="X56" i="49"/>
  <c r="X54" i="49"/>
  <c r="X52" i="49"/>
  <c r="X50" i="49"/>
  <c r="X48" i="49"/>
  <c r="X46" i="49"/>
  <c r="X44" i="49"/>
  <c r="X42" i="49"/>
  <c r="X40" i="49"/>
  <c r="H29" i="49"/>
  <c r="AA36" i="49"/>
  <c r="AK36" i="49" s="1"/>
  <c r="Y33" i="49"/>
  <c r="Y31" i="49"/>
  <c r="Y29" i="49"/>
  <c r="X57" i="49"/>
  <c r="X55" i="49"/>
  <c r="X53" i="49"/>
  <c r="X51" i="49"/>
  <c r="X41" i="49"/>
  <c r="AH33" i="49"/>
  <c r="AG33" i="49"/>
  <c r="AH31" i="49"/>
  <c r="AL31" i="49"/>
  <c r="AH29" i="49"/>
  <c r="AA33" i="49"/>
  <c r="AK33" i="49" s="1"/>
  <c r="AL29" i="49"/>
  <c r="AG29" i="49"/>
  <c r="X29" i="49"/>
  <c r="AL33" i="49"/>
  <c r="X33" i="49"/>
  <c r="AA29" i="49"/>
  <c r="AK29" i="49" s="1"/>
  <c r="AA30" i="49"/>
  <c r="AK30" i="49" s="1"/>
  <c r="X31" i="49"/>
  <c r="AG39" i="49"/>
  <c r="AG43" i="49"/>
  <c r="AG51" i="49"/>
  <c r="AG36" i="49"/>
  <c r="AG30" i="49"/>
  <c r="X32" i="49"/>
  <c r="AA38" i="49"/>
  <c r="AK38" i="49" s="1"/>
  <c r="AG44" i="49"/>
  <c r="AG52" i="49"/>
  <c r="AA41" i="49"/>
  <c r="AK41" i="49" s="1"/>
  <c r="AA49" i="49"/>
  <c r="AK49" i="49" s="1"/>
  <c r="AA57" i="49"/>
  <c r="AK57" i="49" s="1"/>
  <c r="AA46" i="49"/>
  <c r="AK46" i="49" s="1"/>
  <c r="AA54" i="49"/>
  <c r="AK54" i="49" s="1"/>
  <c r="AG34" i="49"/>
  <c r="AG31" i="49"/>
  <c r="AA39" i="49"/>
  <c r="AK39" i="49" s="1"/>
  <c r="AG45" i="49"/>
  <c r="AG53" i="49"/>
  <c r="AG38" i="49"/>
  <c r="AA32" i="49"/>
  <c r="AK32" i="49" s="1"/>
  <c r="AG32" i="49"/>
  <c r="X34" i="49"/>
  <c r="AG46" i="49"/>
  <c r="AG54" i="49"/>
  <c r="AA43" i="49"/>
  <c r="AK43" i="49" s="1"/>
  <c r="AA51" i="49"/>
  <c r="AK51" i="49" s="1"/>
  <c r="AA40" i="49"/>
  <c r="AK40" i="49" s="1"/>
  <c r="AA48" i="49"/>
  <c r="AK48" i="49" s="1"/>
  <c r="AA56" i="49"/>
  <c r="AK56" i="49" s="1"/>
  <c r="X35" i="49"/>
  <c r="AG35" i="49"/>
  <c r="X39" i="49"/>
  <c r="AG47" i="49"/>
  <c r="AG55" i="49"/>
  <c r="AA35" i="49"/>
  <c r="AK35" i="49" s="1"/>
  <c r="AA34" i="49"/>
  <c r="AK34" i="49" s="1"/>
  <c r="X36" i="49"/>
  <c r="AG40" i="49"/>
  <c r="AG48" i="49"/>
  <c r="AG56" i="49"/>
  <c r="AA45" i="49"/>
  <c r="AK45" i="49" s="1"/>
  <c r="AA53" i="49"/>
  <c r="AK53" i="49" s="1"/>
  <c r="AA42" i="49"/>
  <c r="AK42" i="49" s="1"/>
  <c r="AA50" i="49"/>
  <c r="AK50" i="49" s="1"/>
  <c r="AA58" i="49"/>
  <c r="AK58" i="49" s="1"/>
  <c r="AA31" i="49"/>
  <c r="AK31" i="49" s="1"/>
  <c r="X37" i="49"/>
  <c r="AG37" i="49"/>
  <c r="AG41" i="49"/>
  <c r="AG49" i="49"/>
  <c r="AG57" i="49"/>
  <c r="AA37" i="49"/>
  <c r="AK37" i="49" s="1"/>
  <c r="X30" i="49"/>
  <c r="X38" i="49"/>
  <c r="AG42" i="49"/>
  <c r="AG50" i="49"/>
  <c r="AG58" i="49"/>
  <c r="AA44" i="49"/>
  <c r="AK44" i="49" s="1"/>
  <c r="AA52" i="49"/>
  <c r="AK52" i="49" s="1"/>
  <c r="AA47" i="49"/>
  <c r="AK47" i="49" s="1"/>
  <c r="AA55" i="49"/>
  <c r="AK55" i="49" s="1"/>
  <c r="E19" i="55" l="1"/>
  <c r="X20" i="55"/>
  <c r="E20" i="55" s="1"/>
  <c r="N80" i="54"/>
  <c r="D80" i="54"/>
  <c r="B81" i="54" s="1"/>
  <c r="W91" i="54"/>
  <c r="Y60" i="49"/>
  <c r="AN47" i="49"/>
  <c r="AJ47" i="49"/>
  <c r="AN37" i="49"/>
  <c r="AJ37" i="49"/>
  <c r="AN39" i="49"/>
  <c r="AJ39" i="49"/>
  <c r="AJ42" i="49"/>
  <c r="AN42" i="49"/>
  <c r="AN35" i="49"/>
  <c r="AJ35" i="49"/>
  <c r="AN57" i="49"/>
  <c r="AJ57" i="49"/>
  <c r="AN55" i="49"/>
  <c r="AJ55" i="49"/>
  <c r="AJ58" i="49"/>
  <c r="AN58" i="49"/>
  <c r="AN45" i="49"/>
  <c r="AJ45" i="49"/>
  <c r="AJ56" i="49"/>
  <c r="AN56" i="49"/>
  <c r="AN43" i="49"/>
  <c r="AJ43" i="49"/>
  <c r="AJ54" i="49"/>
  <c r="AN54" i="49"/>
  <c r="AN41" i="49"/>
  <c r="AJ41" i="49"/>
  <c r="AN29" i="49"/>
  <c r="AJ29" i="49"/>
  <c r="AK60" i="49"/>
  <c r="AG60" i="49"/>
  <c r="AN36" i="49"/>
  <c r="AJ36" i="49"/>
  <c r="AJ50" i="49"/>
  <c r="AN50" i="49"/>
  <c r="AN34" i="49"/>
  <c r="AJ34" i="49"/>
  <c r="AJ48" i="49"/>
  <c r="AN48" i="49"/>
  <c r="AJ32" i="49"/>
  <c r="AN32" i="49"/>
  <c r="AJ46" i="49"/>
  <c r="AN46" i="49"/>
  <c r="AJ52" i="49"/>
  <c r="AN52" i="49"/>
  <c r="AJ40" i="49"/>
  <c r="AN40" i="49"/>
  <c r="AN33" i="49"/>
  <c r="AJ33" i="49"/>
  <c r="AJ44" i="49"/>
  <c r="AN44" i="49"/>
  <c r="AN31" i="49"/>
  <c r="AJ31" i="49"/>
  <c r="AN53" i="49"/>
  <c r="AJ53" i="49"/>
  <c r="AN51" i="49"/>
  <c r="AJ51" i="49"/>
  <c r="AN49" i="49"/>
  <c r="AJ49" i="49"/>
  <c r="AJ38" i="49"/>
  <c r="AN38" i="49"/>
  <c r="AJ30" i="49"/>
  <c r="AN30" i="49"/>
  <c r="X60" i="49"/>
  <c r="AG83" i="54" l="1"/>
  <c r="AO83" i="54"/>
  <c r="AK83" i="54"/>
  <c r="N49" i="54"/>
  <c r="C94" i="54"/>
  <c r="H94" i="54" s="1"/>
  <c r="F49" i="49"/>
  <c r="AO49" i="49"/>
  <c r="D49" i="49" s="1"/>
  <c r="F53" i="49"/>
  <c r="AO53" i="49"/>
  <c r="D53" i="49" s="1"/>
  <c r="F41" i="49"/>
  <c r="AO41" i="49"/>
  <c r="D41" i="49" s="1"/>
  <c r="F43" i="49"/>
  <c r="AO43" i="49"/>
  <c r="D43" i="49" s="1"/>
  <c r="F45" i="49"/>
  <c r="AO45" i="49"/>
  <c r="D45" i="49" s="1"/>
  <c r="F55" i="49"/>
  <c r="AO55" i="49"/>
  <c r="D55" i="49" s="1"/>
  <c r="F35" i="49"/>
  <c r="AO35" i="49"/>
  <c r="D35" i="49" s="1"/>
  <c r="AO39" i="49"/>
  <c r="D39" i="49" s="1"/>
  <c r="F39" i="49"/>
  <c r="F47" i="49"/>
  <c r="AO47" i="49"/>
  <c r="D47" i="49" s="1"/>
  <c r="AO38" i="49"/>
  <c r="D38" i="49" s="1"/>
  <c r="F38" i="49"/>
  <c r="AO52" i="49"/>
  <c r="D52" i="49" s="1"/>
  <c r="F52" i="49"/>
  <c r="AO32" i="49"/>
  <c r="D32" i="49" s="1"/>
  <c r="F32" i="49"/>
  <c r="AJ60" i="49"/>
  <c r="AM60" i="49" s="1"/>
  <c r="AL60" i="49" s="1"/>
  <c r="AO54" i="49"/>
  <c r="D54" i="49" s="1"/>
  <c r="F54" i="49"/>
  <c r="AO56" i="49"/>
  <c r="D56" i="49" s="1"/>
  <c r="F56" i="49"/>
  <c r="AO58" i="49"/>
  <c r="D58" i="49" s="1"/>
  <c r="F58" i="49"/>
  <c r="AO42" i="49"/>
  <c r="D42" i="49" s="1"/>
  <c r="F42" i="49"/>
  <c r="F51" i="49"/>
  <c r="AO51" i="49"/>
  <c r="D51" i="49" s="1"/>
  <c r="F31" i="49"/>
  <c r="AO31" i="49"/>
  <c r="D31" i="49" s="1"/>
  <c r="F33" i="49"/>
  <c r="AO33" i="49"/>
  <c r="D33" i="49" s="1"/>
  <c r="AO34" i="49"/>
  <c r="D34" i="49" s="1"/>
  <c r="F34" i="49"/>
  <c r="AO36" i="49"/>
  <c r="D36" i="49" s="1"/>
  <c r="F36" i="49"/>
  <c r="AN60" i="49"/>
  <c r="F29" i="49"/>
  <c r="AO29" i="49"/>
  <c r="F57" i="49"/>
  <c r="AO57" i="49"/>
  <c r="D57" i="49" s="1"/>
  <c r="F37" i="49"/>
  <c r="AO37" i="49"/>
  <c r="D37" i="49" s="1"/>
  <c r="AO30" i="49"/>
  <c r="D30" i="49" s="1"/>
  <c r="F30" i="49"/>
  <c r="AO44" i="49"/>
  <c r="D44" i="49" s="1"/>
  <c r="F44" i="49"/>
  <c r="AO40" i="49"/>
  <c r="D40" i="49" s="1"/>
  <c r="F40" i="49"/>
  <c r="AO46" i="49"/>
  <c r="D46" i="49" s="1"/>
  <c r="F46" i="49"/>
  <c r="AO48" i="49"/>
  <c r="D48" i="49" s="1"/>
  <c r="F48" i="49"/>
  <c r="AO50" i="49"/>
  <c r="D50" i="49" s="1"/>
  <c r="F50" i="49"/>
  <c r="AI88" i="54" l="1"/>
  <c r="AI87" i="54"/>
  <c r="AI86" i="54"/>
  <c r="AI85" i="54"/>
  <c r="AI89" i="54"/>
  <c r="AJ87" i="54"/>
  <c r="B87" i="54" s="1"/>
  <c r="AJ85" i="54"/>
  <c r="B85" i="54" s="1"/>
  <c r="AJ89" i="54"/>
  <c r="B89" i="54" s="1"/>
  <c r="AJ88" i="54"/>
  <c r="B88" i="54" s="1"/>
  <c r="AF87" i="54"/>
  <c r="AF85" i="54"/>
  <c r="AE88" i="54"/>
  <c r="AF89" i="54"/>
  <c r="AF88" i="54"/>
  <c r="AE85" i="54"/>
  <c r="AE86" i="54"/>
  <c r="AE89" i="54"/>
  <c r="AE87" i="54"/>
  <c r="E37" i="49"/>
  <c r="E47" i="49"/>
  <c r="E35" i="49"/>
  <c r="E45" i="49"/>
  <c r="E41" i="49"/>
  <c r="E57" i="49"/>
  <c r="E34" i="49"/>
  <c r="E42" i="49"/>
  <c r="E56" i="49"/>
  <c r="E55" i="49"/>
  <c r="E43" i="49"/>
  <c r="E36" i="49"/>
  <c r="E58" i="49"/>
  <c r="E54" i="49"/>
  <c r="E48" i="49"/>
  <c r="E40" i="49"/>
  <c r="E30" i="49"/>
  <c r="E33" i="49"/>
  <c r="E51" i="49"/>
  <c r="E32" i="49"/>
  <c r="E38" i="49"/>
  <c r="E39" i="49"/>
  <c r="E53" i="49"/>
  <c r="AO60" i="49"/>
  <c r="D29" i="49"/>
  <c r="E50" i="49"/>
  <c r="E46" i="49"/>
  <c r="E44" i="49"/>
  <c r="F60" i="49"/>
  <c r="E31" i="49"/>
  <c r="E52" i="49"/>
  <c r="E49" i="49"/>
  <c r="AI91" i="54" l="1"/>
  <c r="AL85" i="54"/>
  <c r="AH85" i="54"/>
  <c r="D85" i="54"/>
  <c r="AE91" i="54"/>
  <c r="B91" i="54"/>
  <c r="D86" i="54"/>
  <c r="AL86" i="54"/>
  <c r="AM86" i="54" s="1"/>
  <c r="AH86" i="54"/>
  <c r="F86" i="54" s="1"/>
  <c r="D87" i="54"/>
  <c r="E87" i="54" s="1"/>
  <c r="AL87" i="54"/>
  <c r="AM87" i="54" s="1"/>
  <c r="AH87" i="54"/>
  <c r="F87" i="54" s="1"/>
  <c r="AL89" i="54"/>
  <c r="AM89" i="54" s="1"/>
  <c r="AH89" i="54"/>
  <c r="F89" i="54" s="1"/>
  <c r="D89" i="54"/>
  <c r="D88" i="54"/>
  <c r="AL88" i="54"/>
  <c r="AM88" i="54" s="1"/>
  <c r="AH88" i="54"/>
  <c r="F88" i="54" s="1"/>
  <c r="F27" i="49"/>
  <c r="D60" i="49"/>
  <c r="D27" i="49" s="1"/>
  <c r="E29" i="49"/>
  <c r="AQ60" i="49"/>
  <c r="AP60" i="49" s="1"/>
  <c r="AP29" i="49"/>
  <c r="B29" i="49" s="1"/>
  <c r="AP33" i="49"/>
  <c r="B33" i="49" s="1"/>
  <c r="AP31" i="49"/>
  <c r="B31" i="49" s="1"/>
  <c r="E88" i="54" l="1"/>
  <c r="E85" i="54"/>
  <c r="D91" i="54"/>
  <c r="D83" i="54" s="1"/>
  <c r="E89" i="54"/>
  <c r="E86" i="54"/>
  <c r="AH91" i="54"/>
  <c r="F85" i="54"/>
  <c r="F91" i="54" s="1"/>
  <c r="AL91" i="54"/>
  <c r="AM85" i="54"/>
  <c r="AM91" i="54" s="1"/>
  <c r="AK91" i="54"/>
  <c r="AJ91" i="54" s="1"/>
  <c r="P24" i="49"/>
  <c r="W110" i="49" s="1"/>
  <c r="B60" i="49"/>
  <c r="C60" i="49"/>
  <c r="E60" i="49" s="1"/>
  <c r="C91" i="54" l="1"/>
  <c r="E91" i="54" s="1"/>
  <c r="F83" i="54"/>
  <c r="AO91" i="54"/>
  <c r="AN91" i="54" s="1"/>
  <c r="AN85" i="54"/>
  <c r="AN87" i="54"/>
  <c r="AN88" i="54"/>
  <c r="AN89" i="54"/>
  <c r="C63" i="49"/>
  <c r="H63" i="49" s="1"/>
  <c r="O8" i="47" l="1"/>
  <c r="O55" i="47"/>
  <c r="AA108" i="47" l="1"/>
  <c r="AB108" i="47" s="1"/>
  <c r="AA107" i="47"/>
  <c r="AB107" i="47" s="1"/>
  <c r="AA106" i="47"/>
  <c r="AB106" i="47" s="1"/>
  <c r="AA105" i="47"/>
  <c r="AA104" i="47"/>
  <c r="X104" i="47"/>
  <c r="AB105" i="47"/>
  <c r="AB104" i="47"/>
  <c r="AA100" i="47"/>
  <c r="AB100" i="47" s="1"/>
  <c r="AA99" i="47"/>
  <c r="AB99" i="47" s="1"/>
  <c r="AA98" i="47"/>
  <c r="AB98" i="47" s="1"/>
  <c r="AA97" i="47"/>
  <c r="AB97" i="47" s="1"/>
  <c r="AA96" i="47"/>
  <c r="AB96" i="47" s="1"/>
  <c r="X96" i="47"/>
  <c r="Y89" i="47"/>
  <c r="Y88" i="47"/>
  <c r="Y87" i="47"/>
  <c r="Y86" i="47"/>
  <c r="Y85" i="47"/>
  <c r="Y84" i="47"/>
  <c r="Y83" i="47"/>
  <c r="Y82" i="47"/>
  <c r="Y81" i="47"/>
  <c r="Y80" i="47"/>
  <c r="Y79" i="47"/>
  <c r="Y78" i="47"/>
  <c r="Y77" i="47"/>
  <c r="Y76" i="47"/>
  <c r="Y75" i="47"/>
  <c r="Y74" i="47"/>
  <c r="Y69" i="47"/>
  <c r="Y66" i="47"/>
  <c r="Y64" i="47"/>
  <c r="Y63" i="47"/>
  <c r="Y61" i="47"/>
  <c r="Y60" i="47"/>
  <c r="U90" i="47"/>
  <c r="AQ89" i="47"/>
  <c r="AP89" i="47"/>
  <c r="AM89" i="47"/>
  <c r="AL89" i="47"/>
  <c r="AI89" i="47"/>
  <c r="C89" i="47" s="1"/>
  <c r="AH89" i="47"/>
  <c r="B89" i="47" s="1"/>
  <c r="AC89" i="47"/>
  <c r="AD89" i="47" s="1"/>
  <c r="AE89" i="47" s="1"/>
  <c r="Z89" i="47"/>
  <c r="W89" i="47"/>
  <c r="G89" i="47"/>
  <c r="F89" i="47"/>
  <c r="AQ88" i="47"/>
  <c r="AP88" i="47"/>
  <c r="AM88" i="47"/>
  <c r="AL88" i="47"/>
  <c r="AI88" i="47"/>
  <c r="C88" i="47" s="1"/>
  <c r="AH88" i="47"/>
  <c r="B88" i="47" s="1"/>
  <c r="AC88" i="47"/>
  <c r="AD88" i="47" s="1"/>
  <c r="AE88" i="47" s="1"/>
  <c r="Z88" i="47"/>
  <c r="W88" i="47"/>
  <c r="G88" i="47"/>
  <c r="F88" i="47"/>
  <c r="AQ87" i="47"/>
  <c r="AP87" i="47"/>
  <c r="AM87" i="47"/>
  <c r="AL87" i="47"/>
  <c r="AI87" i="47"/>
  <c r="C87" i="47" s="1"/>
  <c r="AH87" i="47"/>
  <c r="B87" i="47" s="1"/>
  <c r="AC87" i="47"/>
  <c r="AD87" i="47" s="1"/>
  <c r="AE87" i="47" s="1"/>
  <c r="Z87" i="47"/>
  <c r="W87" i="47"/>
  <c r="G87" i="47"/>
  <c r="F87" i="47"/>
  <c r="AQ86" i="47"/>
  <c r="AP86" i="47"/>
  <c r="AM86" i="47"/>
  <c r="AL86" i="47"/>
  <c r="AI86" i="47"/>
  <c r="C86" i="47" s="1"/>
  <c r="AH86" i="47"/>
  <c r="B86" i="47" s="1"/>
  <c r="AC86" i="47"/>
  <c r="AD86" i="47" s="1"/>
  <c r="AE86" i="47" s="1"/>
  <c r="Z86" i="47"/>
  <c r="W86" i="47"/>
  <c r="G86" i="47"/>
  <c r="F86" i="47"/>
  <c r="AQ85" i="47"/>
  <c r="AP85" i="47"/>
  <c r="AM85" i="47"/>
  <c r="AL85" i="47"/>
  <c r="AI85" i="47"/>
  <c r="C85" i="47" s="1"/>
  <c r="AH85" i="47"/>
  <c r="B85" i="47" s="1"/>
  <c r="AC85" i="47"/>
  <c r="AD85" i="47" s="1"/>
  <c r="AE85" i="47" s="1"/>
  <c r="Z85" i="47"/>
  <c r="W85" i="47"/>
  <c r="G85" i="47"/>
  <c r="F85" i="47"/>
  <c r="AQ84" i="47"/>
  <c r="AP84" i="47"/>
  <c r="AM84" i="47"/>
  <c r="AL84" i="47"/>
  <c r="AI84" i="47"/>
  <c r="C84" i="47" s="1"/>
  <c r="AH84" i="47"/>
  <c r="B84" i="47" s="1"/>
  <c r="AC84" i="47"/>
  <c r="AD84" i="47" s="1"/>
  <c r="AE84" i="47" s="1"/>
  <c r="Z84" i="47"/>
  <c r="W84" i="47"/>
  <c r="G84" i="47"/>
  <c r="F84" i="47"/>
  <c r="AQ83" i="47"/>
  <c r="AP83" i="47"/>
  <c r="AM83" i="47"/>
  <c r="AL83" i="47"/>
  <c r="AI83" i="47"/>
  <c r="C83" i="47" s="1"/>
  <c r="AH83" i="47"/>
  <c r="B83" i="47" s="1"/>
  <c r="AC83" i="47"/>
  <c r="AD83" i="47" s="1"/>
  <c r="AE83" i="47" s="1"/>
  <c r="Z83" i="47"/>
  <c r="W83" i="47"/>
  <c r="G83" i="47"/>
  <c r="F83" i="47"/>
  <c r="AQ82" i="47"/>
  <c r="AP82" i="47"/>
  <c r="AM82" i="47"/>
  <c r="AL82" i="47"/>
  <c r="AI82" i="47"/>
  <c r="C82" i="47" s="1"/>
  <c r="AH82" i="47"/>
  <c r="B82" i="47" s="1"/>
  <c r="AC82" i="47"/>
  <c r="AD82" i="47" s="1"/>
  <c r="AE82" i="47" s="1"/>
  <c r="Z82" i="47"/>
  <c r="W82" i="47"/>
  <c r="G82" i="47"/>
  <c r="F82" i="47"/>
  <c r="AQ81" i="47"/>
  <c r="AP81" i="47"/>
  <c r="AM81" i="47"/>
  <c r="AL81" i="47"/>
  <c r="AI81" i="47"/>
  <c r="C81" i="47" s="1"/>
  <c r="AH81" i="47"/>
  <c r="B81" i="47" s="1"/>
  <c r="AC81" i="47"/>
  <c r="AD81" i="47" s="1"/>
  <c r="AE81" i="47" s="1"/>
  <c r="Z81" i="47"/>
  <c r="W81" i="47"/>
  <c r="G81" i="47"/>
  <c r="F81" i="47"/>
  <c r="AQ80" i="47"/>
  <c r="AP80" i="47"/>
  <c r="AM80" i="47"/>
  <c r="AL80" i="47"/>
  <c r="AI80" i="47"/>
  <c r="C80" i="47" s="1"/>
  <c r="AH80" i="47"/>
  <c r="B80" i="47" s="1"/>
  <c r="AC80" i="47"/>
  <c r="AD80" i="47" s="1"/>
  <c r="AE80" i="47" s="1"/>
  <c r="Z80" i="47"/>
  <c r="W80" i="47"/>
  <c r="G80" i="47"/>
  <c r="F80" i="47"/>
  <c r="AQ79" i="47"/>
  <c r="AP79" i="47"/>
  <c r="AM79" i="47"/>
  <c r="AL79" i="47"/>
  <c r="AI79" i="47"/>
  <c r="C79" i="47" s="1"/>
  <c r="AH79" i="47"/>
  <c r="B79" i="47" s="1"/>
  <c r="AC79" i="47"/>
  <c r="AD79" i="47" s="1"/>
  <c r="AE79" i="47" s="1"/>
  <c r="Z79" i="47"/>
  <c r="W79" i="47"/>
  <c r="G79" i="47"/>
  <c r="F79" i="47"/>
  <c r="AQ78" i="47"/>
  <c r="AP78" i="47"/>
  <c r="AM78" i="47"/>
  <c r="AL78" i="47"/>
  <c r="AI78" i="47"/>
  <c r="C78" i="47" s="1"/>
  <c r="AH78" i="47"/>
  <c r="B78" i="47" s="1"/>
  <c r="AC78" i="47"/>
  <c r="AD78" i="47" s="1"/>
  <c r="AE78" i="47" s="1"/>
  <c r="Z78" i="47"/>
  <c r="W78" i="47"/>
  <c r="G78" i="47"/>
  <c r="F78" i="47"/>
  <c r="AQ77" i="47"/>
  <c r="AP77" i="47"/>
  <c r="AM77" i="47"/>
  <c r="AL77" i="47"/>
  <c r="AI77" i="47"/>
  <c r="C77" i="47" s="1"/>
  <c r="AH77" i="47"/>
  <c r="B77" i="47" s="1"/>
  <c r="AC77" i="47"/>
  <c r="AD77" i="47" s="1"/>
  <c r="AE77" i="47" s="1"/>
  <c r="Z77" i="47"/>
  <c r="W77" i="47"/>
  <c r="G77" i="47"/>
  <c r="F77" i="47"/>
  <c r="AQ76" i="47"/>
  <c r="AP76" i="47"/>
  <c r="AM76" i="47"/>
  <c r="AL76" i="47"/>
  <c r="AI76" i="47"/>
  <c r="C76" i="47" s="1"/>
  <c r="AH76" i="47"/>
  <c r="B76" i="47" s="1"/>
  <c r="AC76" i="47"/>
  <c r="AD76" i="47" s="1"/>
  <c r="AE76" i="47" s="1"/>
  <c r="Z76" i="47"/>
  <c r="W76" i="47"/>
  <c r="G76" i="47"/>
  <c r="F76" i="47"/>
  <c r="AQ75" i="47"/>
  <c r="AP75" i="47"/>
  <c r="AM75" i="47"/>
  <c r="AL75" i="47"/>
  <c r="AI75" i="47"/>
  <c r="C75" i="47" s="1"/>
  <c r="AH75" i="47"/>
  <c r="B75" i="47" s="1"/>
  <c r="AC75" i="47"/>
  <c r="AD75" i="47" s="1"/>
  <c r="AE75" i="47" s="1"/>
  <c r="Z75" i="47"/>
  <c r="W75" i="47"/>
  <c r="G75" i="47"/>
  <c r="F75" i="47"/>
  <c r="AQ74" i="47"/>
  <c r="AP74" i="47"/>
  <c r="AM74" i="47"/>
  <c r="AL74" i="47"/>
  <c r="AI74" i="47"/>
  <c r="C74" i="47" s="1"/>
  <c r="AH74" i="47"/>
  <c r="B74" i="47" s="1"/>
  <c r="AC74" i="47"/>
  <c r="AD74" i="47" s="1"/>
  <c r="AE74" i="47" s="1"/>
  <c r="Z74" i="47"/>
  <c r="W74" i="47"/>
  <c r="G74" i="47"/>
  <c r="F74" i="47"/>
  <c r="AQ73" i="47"/>
  <c r="AM73" i="47"/>
  <c r="AI73" i="47"/>
  <c r="AC73" i="47"/>
  <c r="AD73" i="47" s="1"/>
  <c r="AE73" i="47" s="1"/>
  <c r="Z73" i="47"/>
  <c r="W73" i="47"/>
  <c r="G73" i="47"/>
  <c r="F73" i="47"/>
  <c r="C73" i="47"/>
  <c r="AQ72" i="47"/>
  <c r="AM72" i="47"/>
  <c r="AI72" i="47"/>
  <c r="C72" i="47" s="1"/>
  <c r="AC72" i="47"/>
  <c r="AD72" i="47" s="1"/>
  <c r="AE72" i="47" s="1"/>
  <c r="Z72" i="47"/>
  <c r="W72" i="47"/>
  <c r="G72" i="47"/>
  <c r="F72" i="47"/>
  <c r="AQ71" i="47"/>
  <c r="AM71" i="47"/>
  <c r="AI71" i="47"/>
  <c r="C71" i="47" s="1"/>
  <c r="AC71" i="47"/>
  <c r="AD71" i="47" s="1"/>
  <c r="AE71" i="47" s="1"/>
  <c r="Z71" i="47"/>
  <c r="W71" i="47"/>
  <c r="G71" i="47"/>
  <c r="F71" i="47"/>
  <c r="AQ70" i="47"/>
  <c r="AM70" i="47"/>
  <c r="AI70" i="47"/>
  <c r="C70" i="47" s="1"/>
  <c r="AC70" i="47"/>
  <c r="AD70" i="47" s="1"/>
  <c r="AE70" i="47" s="1"/>
  <c r="Z70" i="47"/>
  <c r="W70" i="47"/>
  <c r="G70" i="47"/>
  <c r="F70" i="47"/>
  <c r="AQ69" i="47"/>
  <c r="AP69" i="47"/>
  <c r="AM69" i="47"/>
  <c r="AL69" i="47"/>
  <c r="AI69" i="47"/>
  <c r="C69" i="47" s="1"/>
  <c r="AH69" i="47"/>
  <c r="B69" i="47" s="1"/>
  <c r="AC69" i="47"/>
  <c r="AD69" i="47" s="1"/>
  <c r="AE69" i="47" s="1"/>
  <c r="Z69" i="47"/>
  <c r="W69" i="47"/>
  <c r="G69" i="47"/>
  <c r="F69" i="47"/>
  <c r="AQ68" i="47"/>
  <c r="AM68" i="47"/>
  <c r="AI68" i="47"/>
  <c r="C68" i="47" s="1"/>
  <c r="AC68" i="47"/>
  <c r="AD68" i="47" s="1"/>
  <c r="AE68" i="47" s="1"/>
  <c r="Z68" i="47"/>
  <c r="W68" i="47"/>
  <c r="G68" i="47"/>
  <c r="F68" i="47"/>
  <c r="AQ67" i="47"/>
  <c r="AM67" i="47"/>
  <c r="AI67" i="47"/>
  <c r="C67" i="47" s="1"/>
  <c r="AC67" i="47"/>
  <c r="AD67" i="47" s="1"/>
  <c r="AE67" i="47" s="1"/>
  <c r="Z67" i="47"/>
  <c r="W67" i="47"/>
  <c r="G67" i="47"/>
  <c r="F67" i="47"/>
  <c r="AQ66" i="47"/>
  <c r="AP66" i="47"/>
  <c r="AM66" i="47"/>
  <c r="AL66" i="47"/>
  <c r="AI66" i="47"/>
  <c r="C66" i="47" s="1"/>
  <c r="AH66" i="47"/>
  <c r="B66" i="47" s="1"/>
  <c r="AC66" i="47"/>
  <c r="AD66" i="47" s="1"/>
  <c r="AE66" i="47" s="1"/>
  <c r="Z66" i="47"/>
  <c r="W66" i="47"/>
  <c r="G66" i="47"/>
  <c r="F66" i="47"/>
  <c r="AQ65" i="47"/>
  <c r="AM65" i="47"/>
  <c r="AI65" i="47"/>
  <c r="C65" i="47" s="1"/>
  <c r="AC65" i="47"/>
  <c r="AD65" i="47" s="1"/>
  <c r="AE65" i="47" s="1"/>
  <c r="Z65" i="47"/>
  <c r="W65" i="47"/>
  <c r="G65" i="47"/>
  <c r="F65" i="47"/>
  <c r="AQ64" i="47"/>
  <c r="AM64" i="47"/>
  <c r="AL64" i="47"/>
  <c r="AI64" i="47"/>
  <c r="C64" i="47" s="1"/>
  <c r="AC64" i="47"/>
  <c r="AD64" i="47" s="1"/>
  <c r="AE64" i="47" s="1"/>
  <c r="Z64" i="47"/>
  <c r="W64" i="47"/>
  <c r="G64" i="47"/>
  <c r="F64" i="47"/>
  <c r="AQ63" i="47"/>
  <c r="AP63" i="47"/>
  <c r="AM63" i="47"/>
  <c r="AL63" i="47"/>
  <c r="AI63" i="47"/>
  <c r="C63" i="47" s="1"/>
  <c r="AH63" i="47"/>
  <c r="B63" i="47" s="1"/>
  <c r="AC63" i="47"/>
  <c r="AD63" i="47" s="1"/>
  <c r="AE63" i="47" s="1"/>
  <c r="Z63" i="47"/>
  <c r="W63" i="47"/>
  <c r="G63" i="47"/>
  <c r="F63" i="47"/>
  <c r="AQ62" i="47"/>
  <c r="AM62" i="47"/>
  <c r="AI62" i="47"/>
  <c r="C62" i="47" s="1"/>
  <c r="AC62" i="47"/>
  <c r="AD62" i="47" s="1"/>
  <c r="AE62" i="47" s="1"/>
  <c r="Z62" i="47"/>
  <c r="W62" i="47"/>
  <c r="G62" i="47"/>
  <c r="F62" i="47"/>
  <c r="AQ61" i="47"/>
  <c r="AP61" i="47"/>
  <c r="AM61" i="47"/>
  <c r="AL61" i="47"/>
  <c r="AI61" i="47"/>
  <c r="C61" i="47" s="1"/>
  <c r="AH61" i="47"/>
  <c r="B61" i="47" s="1"/>
  <c r="AC61" i="47"/>
  <c r="AD61" i="47" s="1"/>
  <c r="AE61" i="47" s="1"/>
  <c r="Z61" i="47"/>
  <c r="W61" i="47"/>
  <c r="G61" i="47"/>
  <c r="F61" i="47"/>
  <c r="AQ60" i="47"/>
  <c r="AM60" i="47"/>
  <c r="AL60" i="47"/>
  <c r="AI60" i="47"/>
  <c r="C60" i="47" s="1"/>
  <c r="AC60" i="47"/>
  <c r="AD60" i="47" s="1"/>
  <c r="Z60" i="47"/>
  <c r="W60" i="47"/>
  <c r="O60" i="47"/>
  <c r="G60" i="47"/>
  <c r="F60" i="47"/>
  <c r="P59" i="47"/>
  <c r="L59" i="47"/>
  <c r="AS58" i="47"/>
  <c r="AQ58" i="47"/>
  <c r="AM58" i="47"/>
  <c r="AL72" i="47" s="1"/>
  <c r="AI58" i="47"/>
  <c r="AH64" i="47" s="1"/>
  <c r="B64" i="47" s="1"/>
  <c r="C58" i="47"/>
  <c r="P57" i="47"/>
  <c r="E57" i="47"/>
  <c r="B56" i="47"/>
  <c r="O54" i="47"/>
  <c r="J54" i="47"/>
  <c r="E54" i="47"/>
  <c r="B54" i="47"/>
  <c r="K53" i="47"/>
  <c r="C53" i="47"/>
  <c r="AB52" i="47"/>
  <c r="P52" i="47"/>
  <c r="J52" i="47"/>
  <c r="H52" i="47"/>
  <c r="B52" i="47"/>
  <c r="W90" i="47" l="1"/>
  <c r="X64" i="47" s="1"/>
  <c r="AH67" i="47"/>
  <c r="B67" i="47" s="1"/>
  <c r="AK61" i="47"/>
  <c r="AN61" i="47" s="1"/>
  <c r="AK64" i="47"/>
  <c r="AK65" i="47"/>
  <c r="AN65" i="47" s="1"/>
  <c r="AO65" i="47" s="1"/>
  <c r="AL67" i="47"/>
  <c r="AK74" i="47"/>
  <c r="AN74" i="47" s="1"/>
  <c r="AO74" i="47" s="1"/>
  <c r="AK82" i="47"/>
  <c r="AN82" i="47" s="1"/>
  <c r="AO82" i="47" s="1"/>
  <c r="AL65" i="47"/>
  <c r="AK70" i="47"/>
  <c r="AN70" i="47" s="1"/>
  <c r="AL70" i="47"/>
  <c r="AL73" i="47"/>
  <c r="AH65" i="47"/>
  <c r="B65" i="47" s="1"/>
  <c r="AO70" i="47"/>
  <c r="AO61" i="47"/>
  <c r="AJ64" i="47"/>
  <c r="AK62" i="47"/>
  <c r="AJ62" i="47" s="1"/>
  <c r="AL68" i="47"/>
  <c r="AL71" i="47"/>
  <c r="AK72" i="47"/>
  <c r="AN72" i="47" s="1"/>
  <c r="AO72" i="47" s="1"/>
  <c r="AH72" i="47"/>
  <c r="B72" i="47" s="1"/>
  <c r="AK76" i="47"/>
  <c r="AJ76" i="47" s="1"/>
  <c r="AK84" i="47"/>
  <c r="AN84" i="47" s="1"/>
  <c r="AO84" i="47" s="1"/>
  <c r="AL62" i="47"/>
  <c r="AK63" i="47"/>
  <c r="AJ63" i="47" s="1"/>
  <c r="AK66" i="47"/>
  <c r="AN66" i="47" s="1"/>
  <c r="AO66" i="47" s="1"/>
  <c r="AK68" i="47"/>
  <c r="AN68" i="47" s="1"/>
  <c r="AO68" i="47" s="1"/>
  <c r="AH68" i="47"/>
  <c r="B68" i="47" s="1"/>
  <c r="AH71" i="47"/>
  <c r="B71" i="47" s="1"/>
  <c r="AK80" i="47"/>
  <c r="AJ80" i="47" s="1"/>
  <c r="AK88" i="47"/>
  <c r="AJ88" i="47" s="1"/>
  <c r="AH70" i="47"/>
  <c r="B70" i="47" s="1"/>
  <c r="AH73" i="47"/>
  <c r="B73" i="47" s="1"/>
  <c r="AK78" i="47"/>
  <c r="AN78" i="47" s="1"/>
  <c r="AO78" i="47" s="1"/>
  <c r="AK86" i="47"/>
  <c r="AN86" i="47" s="1"/>
  <c r="AO86" i="47" s="1"/>
  <c r="AN64" i="47"/>
  <c r="AO64" i="47" s="1"/>
  <c r="X62" i="47"/>
  <c r="AB90" i="47"/>
  <c r="AB55" i="47" s="1"/>
  <c r="T56" i="47" s="1"/>
  <c r="AH62" i="47"/>
  <c r="B62" i="47" s="1"/>
  <c r="F55" i="47"/>
  <c r="AE60" i="47"/>
  <c r="X69" i="47"/>
  <c r="AH60" i="47"/>
  <c r="B60" i="47" s="1"/>
  <c r="X88" i="47"/>
  <c r="X72" i="47"/>
  <c r="X89" i="47"/>
  <c r="X86" i="47"/>
  <c r="X70" i="47"/>
  <c r="X75" i="47"/>
  <c r="F91" i="47"/>
  <c r="AG60" i="47"/>
  <c r="AK60" i="47"/>
  <c r="AA62" i="47"/>
  <c r="AG62" i="47"/>
  <c r="D62" i="47" s="1"/>
  <c r="E62" i="47" s="1"/>
  <c r="AG64" i="47"/>
  <c r="D64" i="47" s="1"/>
  <c r="E64" i="47" s="1"/>
  <c r="AA66" i="47"/>
  <c r="AG66" i="47"/>
  <c r="D66" i="47" s="1"/>
  <c r="E66" i="47" s="1"/>
  <c r="AK69" i="47"/>
  <c r="AK73" i="47"/>
  <c r="AK77" i="47"/>
  <c r="AK81" i="47"/>
  <c r="AK85" i="47"/>
  <c r="AK89" i="47"/>
  <c r="AA61" i="47"/>
  <c r="AG61" i="47"/>
  <c r="D61" i="47" s="1"/>
  <c r="E61" i="47" s="1"/>
  <c r="AG63" i="47"/>
  <c r="D63" i="47" s="1"/>
  <c r="E63" i="47" s="1"/>
  <c r="AA65" i="47"/>
  <c r="AG65" i="47"/>
  <c r="D65" i="47" s="1"/>
  <c r="E65" i="47" s="1"/>
  <c r="AK67" i="47"/>
  <c r="AG67" i="47"/>
  <c r="D67" i="47" s="1"/>
  <c r="E67" i="47" s="1"/>
  <c r="AA67" i="47"/>
  <c r="AK71" i="47"/>
  <c r="AK75" i="47"/>
  <c r="AK79" i="47"/>
  <c r="AK83" i="47"/>
  <c r="AK87" i="47"/>
  <c r="AG68" i="47"/>
  <c r="D68" i="47" s="1"/>
  <c r="E68" i="47" s="1"/>
  <c r="AA70" i="47"/>
  <c r="AG70" i="47"/>
  <c r="D70" i="47" s="1"/>
  <c r="E70" i="47" s="1"/>
  <c r="AG72" i="47"/>
  <c r="D72" i="47" s="1"/>
  <c r="E72" i="47" s="1"/>
  <c r="AA74" i="47"/>
  <c r="AG74" i="47"/>
  <c r="D74" i="47" s="1"/>
  <c r="E74" i="47" s="1"/>
  <c r="AG76" i="47"/>
  <c r="D76" i="47" s="1"/>
  <c r="E76" i="47" s="1"/>
  <c r="AA78" i="47"/>
  <c r="AG78" i="47"/>
  <c r="D78" i="47" s="1"/>
  <c r="E78" i="47" s="1"/>
  <c r="AG80" i="47"/>
  <c r="D80" i="47" s="1"/>
  <c r="E80" i="47" s="1"/>
  <c r="AA82" i="47"/>
  <c r="AG82" i="47"/>
  <c r="D82" i="47" s="1"/>
  <c r="E82" i="47" s="1"/>
  <c r="AG84" i="47"/>
  <c r="D84" i="47" s="1"/>
  <c r="E84" i="47" s="1"/>
  <c r="AA86" i="47"/>
  <c r="AG86" i="47"/>
  <c r="D86" i="47" s="1"/>
  <c r="E86" i="47" s="1"/>
  <c r="AG88" i="47"/>
  <c r="D88" i="47" s="1"/>
  <c r="E88" i="47" s="1"/>
  <c r="AA69" i="47"/>
  <c r="AG69" i="47"/>
  <c r="D69" i="47" s="1"/>
  <c r="E69" i="47" s="1"/>
  <c r="AG71" i="47"/>
  <c r="D71" i="47" s="1"/>
  <c r="E71" i="47" s="1"/>
  <c r="AA73" i="47"/>
  <c r="AG73" i="47"/>
  <c r="D73" i="47" s="1"/>
  <c r="E73" i="47" s="1"/>
  <c r="AG75" i="47"/>
  <c r="D75" i="47" s="1"/>
  <c r="E75" i="47" s="1"/>
  <c r="AA77" i="47"/>
  <c r="AG77" i="47"/>
  <c r="D77" i="47" s="1"/>
  <c r="E77" i="47" s="1"/>
  <c r="AG79" i="47"/>
  <c r="D79" i="47" s="1"/>
  <c r="E79" i="47" s="1"/>
  <c r="AA81" i="47"/>
  <c r="AG81" i="47"/>
  <c r="D81" i="47" s="1"/>
  <c r="E81" i="47" s="1"/>
  <c r="AG83" i="47"/>
  <c r="D83" i="47" s="1"/>
  <c r="E83" i="47" s="1"/>
  <c r="AA85" i="47"/>
  <c r="AG85" i="47"/>
  <c r="D85" i="47" s="1"/>
  <c r="E85" i="47" s="1"/>
  <c r="AG87" i="47"/>
  <c r="D87" i="47" s="1"/>
  <c r="E87" i="47" s="1"/>
  <c r="AA89" i="47"/>
  <c r="AG89" i="47"/>
  <c r="D89" i="47" s="1"/>
  <c r="E89" i="47" s="1"/>
  <c r="AJ61" i="47" l="1"/>
  <c r="AJ72" i="47"/>
  <c r="X65" i="47"/>
  <c r="X79" i="47"/>
  <c r="X74" i="47"/>
  <c r="X77" i="47"/>
  <c r="W59" i="47"/>
  <c r="P58" i="47" s="1"/>
  <c r="F56" i="47" s="1"/>
  <c r="X76" i="47"/>
  <c r="X63" i="47"/>
  <c r="X73" i="47"/>
  <c r="Y73" i="47"/>
  <c r="Y65" i="47"/>
  <c r="Y62" i="47"/>
  <c r="Y72" i="47"/>
  <c r="Y68" i="47"/>
  <c r="Y70" i="47"/>
  <c r="Y71" i="47"/>
  <c r="Y67" i="47"/>
  <c r="AA87" i="47"/>
  <c r="AA83" i="47"/>
  <c r="AA79" i="47"/>
  <c r="AA75" i="47"/>
  <c r="AA71" i="47"/>
  <c r="AA88" i="47"/>
  <c r="AA84" i="47"/>
  <c r="AA80" i="47"/>
  <c r="AA76" i="47"/>
  <c r="AA72" i="47"/>
  <c r="AA68" i="47"/>
  <c r="AA63" i="47"/>
  <c r="AA64" i="47"/>
  <c r="X67" i="47"/>
  <c r="X83" i="47"/>
  <c r="X78" i="47"/>
  <c r="X81" i="47"/>
  <c r="H60" i="47"/>
  <c r="X80" i="47"/>
  <c r="X61" i="47"/>
  <c r="X66" i="47"/>
  <c r="AA60" i="47"/>
  <c r="X71" i="47"/>
  <c r="X87" i="47"/>
  <c r="X82" i="47"/>
  <c r="X85" i="47"/>
  <c r="X68" i="47"/>
  <c r="X84" i="47"/>
  <c r="X60" i="47"/>
  <c r="AJ65" i="47"/>
  <c r="AN63" i="47"/>
  <c r="AO63" i="47" s="1"/>
  <c r="AN76" i="47"/>
  <c r="AO76" i="47" s="1"/>
  <c r="AJ70" i="47"/>
  <c r="AJ66" i="47"/>
  <c r="AJ84" i="47"/>
  <c r="AJ82" i="47"/>
  <c r="AJ74" i="47"/>
  <c r="AJ86" i="47"/>
  <c r="AN88" i="47"/>
  <c r="AO88" i="47" s="1"/>
  <c r="AN80" i="47"/>
  <c r="AO80" i="47" s="1"/>
  <c r="AJ78" i="47"/>
  <c r="AJ68" i="47"/>
  <c r="AN62" i="47"/>
  <c r="AO62" i="47" s="1"/>
  <c r="AJ75" i="47"/>
  <c r="AN75" i="47"/>
  <c r="AO75" i="47" s="1"/>
  <c r="AJ67" i="47"/>
  <c r="AN67" i="47"/>
  <c r="AO67" i="47" s="1"/>
  <c r="AJ69" i="47"/>
  <c r="AN69" i="47"/>
  <c r="AO69" i="47" s="1"/>
  <c r="AJ87" i="47"/>
  <c r="AN87" i="47"/>
  <c r="AO87" i="47" s="1"/>
  <c r="AJ71" i="47"/>
  <c r="AN71" i="47"/>
  <c r="AO71" i="47" s="1"/>
  <c r="AJ85" i="47"/>
  <c r="AN85" i="47"/>
  <c r="AO85" i="47" s="1"/>
  <c r="AJ77" i="47"/>
  <c r="AN77" i="47"/>
  <c r="AO77" i="47" s="1"/>
  <c r="AJ83" i="47"/>
  <c r="AN83" i="47"/>
  <c r="AO83" i="47" s="1"/>
  <c r="F58" i="47"/>
  <c r="AJ79" i="47"/>
  <c r="AN79" i="47"/>
  <c r="AO79" i="47" s="1"/>
  <c r="AJ89" i="47"/>
  <c r="AN89" i="47"/>
  <c r="AO89" i="47" s="1"/>
  <c r="AJ81" i="47"/>
  <c r="AN81" i="47"/>
  <c r="AO81" i="47" s="1"/>
  <c r="AJ73" i="47"/>
  <c r="AN73" i="47"/>
  <c r="AO73" i="47" s="1"/>
  <c r="AK91" i="47"/>
  <c r="AJ60" i="47"/>
  <c r="AN60" i="47"/>
  <c r="B91" i="47"/>
  <c r="D60" i="47"/>
  <c r="AG91" i="47"/>
  <c r="AG55" i="47" s="1"/>
  <c r="X91" i="47" l="1"/>
  <c r="Y91" i="47"/>
  <c r="D91" i="47"/>
  <c r="E60" i="47"/>
  <c r="AN91" i="47"/>
  <c r="AN55" i="47" s="1"/>
  <c r="AO60" i="47"/>
  <c r="AO91" i="47" s="1"/>
  <c r="AK55" i="47"/>
  <c r="AJ91" i="47"/>
  <c r="AJ55" i="47" s="1"/>
  <c r="D58" i="47" l="1"/>
  <c r="C91" i="47"/>
  <c r="E91" i="47" s="1"/>
  <c r="AP67" i="47"/>
  <c r="AP65" i="47"/>
  <c r="AP71" i="47"/>
  <c r="AP70" i="47"/>
  <c r="AP72" i="47"/>
  <c r="AP68" i="47"/>
  <c r="AP73" i="47"/>
  <c r="AQ91" i="47"/>
  <c r="AP91" i="47" s="1"/>
  <c r="AO55" i="47"/>
  <c r="AP60" i="47"/>
  <c r="AP62" i="47"/>
  <c r="AP64" i="47"/>
  <c r="AM91" i="47"/>
  <c r="AL91" i="47" s="1"/>
  <c r="H55" i="47" l="1"/>
  <c r="H57" i="47" s="1"/>
  <c r="P55" i="47"/>
  <c r="B13" i="47"/>
  <c r="D19" i="47"/>
  <c r="C17" i="47"/>
  <c r="B17" i="47"/>
  <c r="B48" i="47"/>
  <c r="B47" i="47"/>
  <c r="B46" i="47"/>
  <c r="H45" i="47"/>
  <c r="B45" i="47"/>
  <c r="U43" i="47"/>
  <c r="AQ42" i="47"/>
  <c r="AP42" i="47"/>
  <c r="AM42" i="47"/>
  <c r="AL42" i="47"/>
  <c r="AI42" i="47"/>
  <c r="AH42" i="47"/>
  <c r="AC42" i="47"/>
  <c r="AD42" i="47" s="1"/>
  <c r="AE42" i="47" s="1"/>
  <c r="Z42" i="47"/>
  <c r="Y42" i="47"/>
  <c r="W42" i="47"/>
  <c r="G42" i="47"/>
  <c r="AQ41" i="47"/>
  <c r="AP41" i="47"/>
  <c r="AM41" i="47"/>
  <c r="AL41" i="47"/>
  <c r="AI41" i="47"/>
  <c r="C41" i="47" s="1"/>
  <c r="AH41" i="47"/>
  <c r="B41" i="47" s="1"/>
  <c r="AC41" i="47"/>
  <c r="AD41" i="47" s="1"/>
  <c r="AE41" i="47" s="1"/>
  <c r="Z41" i="47"/>
  <c r="Y41" i="47"/>
  <c r="W41" i="47"/>
  <c r="G41" i="47"/>
  <c r="AQ40" i="47"/>
  <c r="AP40" i="47"/>
  <c r="AM40" i="47"/>
  <c r="AL40" i="47"/>
  <c r="AI40" i="47"/>
  <c r="AH40" i="47"/>
  <c r="AC40" i="47"/>
  <c r="AD40" i="47" s="1"/>
  <c r="AE40" i="47" s="1"/>
  <c r="Z40" i="47"/>
  <c r="Y40" i="47"/>
  <c r="W40" i="47"/>
  <c r="G40" i="47"/>
  <c r="AQ39" i="47"/>
  <c r="AP39" i="47"/>
  <c r="AM39" i="47"/>
  <c r="AL39" i="47"/>
  <c r="AI39" i="47"/>
  <c r="AH39" i="47"/>
  <c r="AC39" i="47"/>
  <c r="AD39" i="47" s="1"/>
  <c r="AE39" i="47" s="1"/>
  <c r="Z39" i="47"/>
  <c r="Y39" i="47"/>
  <c r="W39" i="47"/>
  <c r="G39" i="47"/>
  <c r="AQ38" i="47"/>
  <c r="AP38" i="47"/>
  <c r="AM38" i="47"/>
  <c r="AL38" i="47"/>
  <c r="AI38" i="47"/>
  <c r="AH38" i="47"/>
  <c r="AC38" i="47"/>
  <c r="AD38" i="47" s="1"/>
  <c r="AE38" i="47" s="1"/>
  <c r="Z38" i="47"/>
  <c r="Y38" i="47"/>
  <c r="W38" i="47"/>
  <c r="G38" i="47"/>
  <c r="AQ37" i="47"/>
  <c r="AP37" i="47"/>
  <c r="AM37" i="47"/>
  <c r="AL37" i="47"/>
  <c r="AI37" i="47"/>
  <c r="AH37" i="47"/>
  <c r="AC37" i="47"/>
  <c r="AD37" i="47" s="1"/>
  <c r="AE37" i="47" s="1"/>
  <c r="Z37" i="47"/>
  <c r="Y37" i="47"/>
  <c r="W37" i="47"/>
  <c r="G37" i="47"/>
  <c r="AQ36" i="47"/>
  <c r="AP36" i="47"/>
  <c r="AM36" i="47"/>
  <c r="AL36" i="47"/>
  <c r="AI36" i="47"/>
  <c r="AH36" i="47"/>
  <c r="AC36" i="47"/>
  <c r="AD36" i="47" s="1"/>
  <c r="AE36" i="47" s="1"/>
  <c r="Z36" i="47"/>
  <c r="Y36" i="47"/>
  <c r="W36" i="47"/>
  <c r="G36" i="47"/>
  <c r="AQ35" i="47"/>
  <c r="AP35" i="47"/>
  <c r="AM35" i="47"/>
  <c r="AL35" i="47"/>
  <c r="AI35" i="47"/>
  <c r="AH35" i="47"/>
  <c r="AC35" i="47"/>
  <c r="AD35" i="47" s="1"/>
  <c r="AE35" i="47" s="1"/>
  <c r="Z35" i="47"/>
  <c r="Y35" i="47"/>
  <c r="W35" i="47"/>
  <c r="G35" i="47"/>
  <c r="AQ34" i="47"/>
  <c r="AP34" i="47"/>
  <c r="AM34" i="47"/>
  <c r="AL34" i="47"/>
  <c r="AI34" i="47"/>
  <c r="AH34" i="47"/>
  <c r="AC34" i="47"/>
  <c r="AD34" i="47" s="1"/>
  <c r="AE34" i="47" s="1"/>
  <c r="Z34" i="47"/>
  <c r="Y34" i="47"/>
  <c r="W34" i="47"/>
  <c r="G34" i="47"/>
  <c r="AQ33" i="47"/>
  <c r="AP33" i="47"/>
  <c r="AM33" i="47"/>
  <c r="AL33" i="47"/>
  <c r="AI33" i="47"/>
  <c r="AH33" i="47"/>
  <c r="AC33" i="47"/>
  <c r="AD33" i="47" s="1"/>
  <c r="AE33" i="47" s="1"/>
  <c r="Z33" i="47"/>
  <c r="Y33" i="47"/>
  <c r="W33" i="47"/>
  <c r="G33" i="47"/>
  <c r="AQ32" i="47"/>
  <c r="AP32" i="47"/>
  <c r="AM32" i="47"/>
  <c r="AL32" i="47"/>
  <c r="AI32" i="47"/>
  <c r="AH32" i="47"/>
  <c r="AC32" i="47"/>
  <c r="AD32" i="47" s="1"/>
  <c r="AE32" i="47" s="1"/>
  <c r="Z32" i="47"/>
  <c r="Y32" i="47"/>
  <c r="W32" i="47"/>
  <c r="G32" i="47"/>
  <c r="AQ31" i="47"/>
  <c r="AM31" i="47"/>
  <c r="AI31" i="47"/>
  <c r="AC31" i="47"/>
  <c r="AD31" i="47" s="1"/>
  <c r="AE31" i="47" s="1"/>
  <c r="Z31" i="47"/>
  <c r="W31" i="47"/>
  <c r="G31" i="47"/>
  <c r="AQ30" i="47"/>
  <c r="AP30" i="47"/>
  <c r="AM30" i="47"/>
  <c r="AL30" i="47"/>
  <c r="AI30" i="47"/>
  <c r="AH30" i="47"/>
  <c r="AC30" i="47"/>
  <c r="AD30" i="47" s="1"/>
  <c r="AE30" i="47" s="1"/>
  <c r="Z30" i="47"/>
  <c r="Y30" i="47"/>
  <c r="W30" i="47"/>
  <c r="G30" i="47"/>
  <c r="AQ29" i="47"/>
  <c r="AP29" i="47"/>
  <c r="AM29" i="47"/>
  <c r="AL29" i="47"/>
  <c r="AI29" i="47"/>
  <c r="AH29" i="47"/>
  <c r="AC29" i="47"/>
  <c r="AD29" i="47" s="1"/>
  <c r="AE29" i="47" s="1"/>
  <c r="Z29" i="47"/>
  <c r="Y29" i="47"/>
  <c r="W29" i="47"/>
  <c r="G29" i="47"/>
  <c r="AQ28" i="47"/>
  <c r="AP28" i="47"/>
  <c r="AM28" i="47"/>
  <c r="AL28" i="47"/>
  <c r="AI28" i="47"/>
  <c r="AH28" i="47"/>
  <c r="AC28" i="47"/>
  <c r="AD28" i="47" s="1"/>
  <c r="AE28" i="47" s="1"/>
  <c r="Z28" i="47"/>
  <c r="Y28" i="47"/>
  <c r="W28" i="47"/>
  <c r="G28" i="47"/>
  <c r="AQ27" i="47"/>
  <c r="AP27" i="47"/>
  <c r="AM27" i="47"/>
  <c r="AL27" i="47"/>
  <c r="AI27" i="47"/>
  <c r="AH27" i="47"/>
  <c r="AC27" i="47"/>
  <c r="AD27" i="47" s="1"/>
  <c r="AE27" i="47" s="1"/>
  <c r="Z27" i="47"/>
  <c r="Y27" i="47"/>
  <c r="W27" i="47"/>
  <c r="G27" i="47"/>
  <c r="AQ26" i="47"/>
  <c r="AP26" i="47"/>
  <c r="AM26" i="47"/>
  <c r="AL26" i="47"/>
  <c r="AI26" i="47"/>
  <c r="AH26" i="47"/>
  <c r="AC26" i="47"/>
  <c r="AD26" i="47" s="1"/>
  <c r="AE26" i="47" s="1"/>
  <c r="Z26" i="47"/>
  <c r="Y26" i="47"/>
  <c r="W26" i="47"/>
  <c r="G26" i="47"/>
  <c r="AQ25" i="47"/>
  <c r="AP25" i="47"/>
  <c r="AM25" i="47"/>
  <c r="AL25" i="47"/>
  <c r="AI25" i="47"/>
  <c r="AH25" i="47"/>
  <c r="AC25" i="47"/>
  <c r="AD25" i="47" s="1"/>
  <c r="AE25" i="47" s="1"/>
  <c r="Z25" i="47"/>
  <c r="Y25" i="47"/>
  <c r="W25" i="47"/>
  <c r="G25" i="47"/>
  <c r="AQ24" i="47"/>
  <c r="AP24" i="47"/>
  <c r="AM24" i="47"/>
  <c r="AL24" i="47"/>
  <c r="AI24" i="47"/>
  <c r="AH24" i="47"/>
  <c r="AC24" i="47"/>
  <c r="AD24" i="47" s="1"/>
  <c r="AE24" i="47" s="1"/>
  <c r="Z24" i="47"/>
  <c r="Y24" i="47"/>
  <c r="W24" i="47"/>
  <c r="G24" i="47"/>
  <c r="AQ23" i="47"/>
  <c r="AP23" i="47"/>
  <c r="AM23" i="47"/>
  <c r="AL23" i="47"/>
  <c r="AI23" i="47"/>
  <c r="AH23" i="47"/>
  <c r="AC23" i="47"/>
  <c r="AD23" i="47" s="1"/>
  <c r="AE23" i="47" s="1"/>
  <c r="Z23" i="47"/>
  <c r="Y23" i="47"/>
  <c r="W23" i="47"/>
  <c r="G23" i="47"/>
  <c r="AQ22" i="47"/>
  <c r="AP22" i="47"/>
  <c r="AM22" i="47"/>
  <c r="AL22" i="47"/>
  <c r="AI22" i="47"/>
  <c r="AH22" i="47"/>
  <c r="AC22" i="47"/>
  <c r="AD22" i="47" s="1"/>
  <c r="AE22" i="47" s="1"/>
  <c r="Z22" i="47"/>
  <c r="Y22" i="47"/>
  <c r="W22" i="47"/>
  <c r="G22" i="47"/>
  <c r="AQ21" i="47"/>
  <c r="AP21" i="47"/>
  <c r="AM21" i="47"/>
  <c r="AL21" i="47"/>
  <c r="AI21" i="47"/>
  <c r="AH21" i="47"/>
  <c r="AC21" i="47"/>
  <c r="AD21" i="47" s="1"/>
  <c r="AE21" i="47" s="1"/>
  <c r="Z21" i="47"/>
  <c r="Y21" i="47"/>
  <c r="W21" i="47"/>
  <c r="AQ20" i="47"/>
  <c r="AP20" i="47"/>
  <c r="AM20" i="47"/>
  <c r="AL20" i="47"/>
  <c r="AI20" i="47"/>
  <c r="AH20" i="47"/>
  <c r="AC20" i="47"/>
  <c r="AD20" i="47" s="1"/>
  <c r="AE20" i="47" s="1"/>
  <c r="Z20" i="47"/>
  <c r="Y20" i="47"/>
  <c r="W20" i="47"/>
  <c r="AQ19" i="47"/>
  <c r="AP19" i="47"/>
  <c r="AM19" i="47"/>
  <c r="AL19" i="47"/>
  <c r="AI19" i="47"/>
  <c r="AH19" i="47"/>
  <c r="AC19" i="47"/>
  <c r="AD19" i="47" s="1"/>
  <c r="AE19" i="47" s="1"/>
  <c r="Z19" i="47"/>
  <c r="Y19" i="47"/>
  <c r="W19" i="47"/>
  <c r="AQ18" i="47"/>
  <c r="AP18" i="47"/>
  <c r="AM18" i="47"/>
  <c r="AL18" i="47"/>
  <c r="AI18" i="47"/>
  <c r="AH18" i="47"/>
  <c r="AC18" i="47"/>
  <c r="AD18" i="47" s="1"/>
  <c r="AE18" i="47" s="1"/>
  <c r="Z18" i="47"/>
  <c r="Y18" i="47"/>
  <c r="AQ17" i="47"/>
  <c r="AM17" i="47"/>
  <c r="AI17" i="47"/>
  <c r="AC17" i="47"/>
  <c r="AD17" i="47" s="1"/>
  <c r="AE17" i="47" s="1"/>
  <c r="Z17" i="47"/>
  <c r="AQ16" i="47"/>
  <c r="AP16" i="47"/>
  <c r="AM16" i="47"/>
  <c r="AL16" i="47"/>
  <c r="AI16" i="47"/>
  <c r="AH16" i="47"/>
  <c r="AC16" i="47"/>
  <c r="AD16" i="47" s="1"/>
  <c r="AE16" i="47" s="1"/>
  <c r="Z16" i="47"/>
  <c r="Y16" i="47"/>
  <c r="AQ15" i="47"/>
  <c r="AM15" i="47"/>
  <c r="AI15" i="47"/>
  <c r="AC15" i="47"/>
  <c r="AD15" i="47" s="1"/>
  <c r="AE15" i="47" s="1"/>
  <c r="Z15" i="47"/>
  <c r="AQ14" i="47"/>
  <c r="AM14" i="47"/>
  <c r="AI14" i="47"/>
  <c r="AC14" i="47"/>
  <c r="AD14" i="47" s="1"/>
  <c r="AE14" i="47" s="1"/>
  <c r="Z14" i="47"/>
  <c r="AQ13" i="47"/>
  <c r="AM13" i="47"/>
  <c r="AI13" i="47"/>
  <c r="C13" i="47" s="1"/>
  <c r="AC13" i="47"/>
  <c r="AD13" i="47" s="1"/>
  <c r="Z13" i="47"/>
  <c r="P12" i="47"/>
  <c r="L12" i="47"/>
  <c r="AS11" i="47"/>
  <c r="AQ11" i="47"/>
  <c r="AM11" i="47"/>
  <c r="AI11" i="47"/>
  <c r="C11" i="47"/>
  <c r="P10" i="47"/>
  <c r="E10" i="47"/>
  <c r="G9" i="47"/>
  <c r="B9" i="47"/>
  <c r="O7" i="47"/>
  <c r="J7" i="47"/>
  <c r="E7" i="47"/>
  <c r="B7" i="47"/>
  <c r="K6" i="47"/>
  <c r="C6" i="47"/>
  <c r="AB5" i="47"/>
  <c r="P5" i="47"/>
  <c r="J5" i="47"/>
  <c r="H5" i="47"/>
  <c r="B5" i="47"/>
  <c r="B24" i="47" l="1"/>
  <c r="B28" i="47"/>
  <c r="C23" i="47"/>
  <c r="B22" i="47"/>
  <c r="C25" i="47"/>
  <c r="B26" i="47"/>
  <c r="C29" i="47"/>
  <c r="B30" i="47"/>
  <c r="C33" i="47"/>
  <c r="B34" i="47"/>
  <c r="C37" i="47"/>
  <c r="B38" i="47"/>
  <c r="C22" i="47"/>
  <c r="B23" i="47"/>
  <c r="C26" i="47"/>
  <c r="B27" i="47"/>
  <c r="C30" i="47"/>
  <c r="C34" i="47"/>
  <c r="B35" i="47"/>
  <c r="C38" i="47"/>
  <c r="B39" i="47"/>
  <c r="C27" i="47"/>
  <c r="C31" i="47"/>
  <c r="C35" i="47"/>
  <c r="B36" i="47"/>
  <c r="B40" i="47"/>
  <c r="B42" i="47"/>
  <c r="B32" i="47"/>
  <c r="C39" i="47"/>
  <c r="C24" i="47"/>
  <c r="B25" i="47"/>
  <c r="C28" i="47"/>
  <c r="B29" i="47"/>
  <c r="C32" i="47"/>
  <c r="B33" i="47"/>
  <c r="C36" i="47"/>
  <c r="B37" i="47"/>
  <c r="C40" i="47"/>
  <c r="C42" i="47"/>
  <c r="D20" i="47"/>
  <c r="AB43" i="47"/>
  <c r="AB8" i="47" s="1"/>
  <c r="T9" i="47" s="1"/>
  <c r="W43" i="47"/>
  <c r="AE13" i="47"/>
  <c r="W11" i="47" l="1"/>
  <c r="O50" i="44"/>
  <c r="O88" i="44"/>
  <c r="C42" i="44"/>
  <c r="C41" i="44"/>
  <c r="C40" i="44"/>
  <c r="C39" i="44"/>
  <c r="C38" i="44"/>
  <c r="C37" i="44"/>
  <c r="C36" i="44"/>
  <c r="C35" i="44"/>
  <c r="C34" i="44"/>
  <c r="C33" i="44"/>
  <c r="C32" i="44"/>
  <c r="C31" i="44"/>
  <c r="C30" i="44"/>
  <c r="C29" i="44"/>
  <c r="C28" i="44"/>
  <c r="C27" i="44"/>
  <c r="C26" i="44"/>
  <c r="C25" i="44"/>
  <c r="C24" i="44"/>
  <c r="C22" i="44"/>
  <c r="C21" i="44"/>
  <c r="C20" i="44"/>
  <c r="C19" i="44"/>
  <c r="C18" i="44"/>
  <c r="C17" i="44"/>
  <c r="C16" i="44"/>
  <c r="C15" i="44"/>
  <c r="C14" i="44"/>
  <c r="C13" i="44"/>
  <c r="C23" i="44"/>
  <c r="B25" i="44"/>
  <c r="B26" i="44"/>
  <c r="B27" i="44"/>
  <c r="B28" i="44"/>
  <c r="B29" i="44"/>
  <c r="B30" i="44"/>
  <c r="B31" i="44"/>
  <c r="B32" i="44"/>
  <c r="B33" i="44"/>
  <c r="B34" i="44"/>
  <c r="B35" i="44"/>
  <c r="B36" i="44"/>
  <c r="B37" i="44"/>
  <c r="B38" i="44"/>
  <c r="B39" i="44"/>
  <c r="B40" i="44"/>
  <c r="B41" i="44"/>
  <c r="B42" i="44"/>
  <c r="B13" i="44"/>
  <c r="B14" i="44"/>
  <c r="B15" i="44"/>
  <c r="B16" i="44"/>
  <c r="B17" i="44"/>
  <c r="B18" i="44"/>
  <c r="B19" i="44"/>
  <c r="B20" i="44"/>
  <c r="B21" i="44"/>
  <c r="B22" i="44"/>
  <c r="U22" i="44"/>
  <c r="U21" i="44"/>
  <c r="R104" i="44"/>
  <c r="O91" i="44"/>
  <c r="O90" i="44"/>
  <c r="S86" i="44"/>
  <c r="S80" i="44"/>
  <c r="S77" i="44"/>
  <c r="S75" i="44"/>
  <c r="Q74" i="44"/>
  <c r="P74" i="44"/>
  <c r="O74" i="44"/>
  <c r="S72" i="44"/>
  <c r="S68" i="44"/>
  <c r="S66" i="44"/>
  <c r="S65" i="44"/>
  <c r="S58" i="44"/>
  <c r="B48" i="44"/>
  <c r="S99" i="44" s="1"/>
  <c r="B47" i="44"/>
  <c r="S97" i="44" s="1"/>
  <c r="B46" i="44"/>
  <c r="S96" i="44" s="1"/>
  <c r="B45" i="44"/>
  <c r="S95" i="44" s="1"/>
  <c r="Q43" i="44"/>
  <c r="V42" i="44"/>
  <c r="U42" i="44"/>
  <c r="S42" i="44"/>
  <c r="E42" i="44"/>
  <c r="V41" i="44"/>
  <c r="U41" i="44"/>
  <c r="S41" i="44"/>
  <c r="E41" i="44"/>
  <c r="V40" i="44"/>
  <c r="U40" i="44"/>
  <c r="S40" i="44"/>
  <c r="E40" i="44"/>
  <c r="V39" i="44"/>
  <c r="U39" i="44"/>
  <c r="S39" i="44"/>
  <c r="E39" i="44"/>
  <c r="V38" i="44"/>
  <c r="U38" i="44"/>
  <c r="S38" i="44"/>
  <c r="E38" i="44"/>
  <c r="V37" i="44"/>
  <c r="U37" i="44"/>
  <c r="S37" i="44"/>
  <c r="E37" i="44"/>
  <c r="V36" i="44"/>
  <c r="U36" i="44"/>
  <c r="S36" i="44"/>
  <c r="E36" i="44"/>
  <c r="V35" i="44"/>
  <c r="U35" i="44"/>
  <c r="S35" i="44"/>
  <c r="E35" i="44"/>
  <c r="V34" i="44"/>
  <c r="U34" i="44"/>
  <c r="S34" i="44"/>
  <c r="E34" i="44"/>
  <c r="V33" i="44"/>
  <c r="U33" i="44"/>
  <c r="S33" i="44"/>
  <c r="E33" i="44"/>
  <c r="V32" i="44"/>
  <c r="U32" i="44"/>
  <c r="S32" i="44"/>
  <c r="E32" i="44"/>
  <c r="V31" i="44"/>
  <c r="U31" i="44"/>
  <c r="S31" i="44"/>
  <c r="E31" i="44"/>
  <c r="V30" i="44"/>
  <c r="U30" i="44"/>
  <c r="S30" i="44"/>
  <c r="E30" i="44"/>
  <c r="V29" i="44"/>
  <c r="U29" i="44"/>
  <c r="S29" i="44"/>
  <c r="E29" i="44"/>
  <c r="V28" i="44"/>
  <c r="U28" i="44"/>
  <c r="S28" i="44"/>
  <c r="E28" i="44"/>
  <c r="V27" i="44"/>
  <c r="U27" i="44"/>
  <c r="S27" i="44"/>
  <c r="E27" i="44"/>
  <c r="V26" i="44"/>
  <c r="U26" i="44"/>
  <c r="S26" i="44"/>
  <c r="E26" i="44"/>
  <c r="V25" i="44"/>
  <c r="U25" i="44"/>
  <c r="S25" i="44"/>
  <c r="E25" i="44"/>
  <c r="V24" i="44"/>
  <c r="S24" i="44"/>
  <c r="V23" i="44"/>
  <c r="S23" i="44"/>
  <c r="E23" i="44"/>
  <c r="V22" i="44"/>
  <c r="S22" i="44"/>
  <c r="E22" i="44"/>
  <c r="V21" i="44"/>
  <c r="S21" i="44"/>
  <c r="E21" i="44"/>
  <c r="V20" i="44"/>
  <c r="U20" i="44"/>
  <c r="S20" i="44"/>
  <c r="E20" i="44"/>
  <c r="V19" i="44"/>
  <c r="U19" i="44"/>
  <c r="S19" i="44"/>
  <c r="E19" i="44"/>
  <c r="V18" i="44"/>
  <c r="U18" i="44"/>
  <c r="S18" i="44"/>
  <c r="E18" i="44"/>
  <c r="V17" i="44"/>
  <c r="S17" i="44"/>
  <c r="E17" i="44"/>
  <c r="V16" i="44"/>
  <c r="U16" i="44"/>
  <c r="S16" i="44"/>
  <c r="E16" i="44"/>
  <c r="V15" i="44"/>
  <c r="S15" i="44"/>
  <c r="E15" i="44"/>
  <c r="V14" i="44"/>
  <c r="U14" i="44"/>
  <c r="S14" i="44"/>
  <c r="E14" i="44"/>
  <c r="V13" i="44"/>
  <c r="S13" i="44"/>
  <c r="E13" i="44"/>
  <c r="S91" i="44"/>
  <c r="B9" i="44"/>
  <c r="B7" i="44"/>
  <c r="C6" i="44"/>
  <c r="L5" i="44"/>
  <c r="H5" i="44"/>
  <c r="F5" i="44"/>
  <c r="B5" i="44"/>
  <c r="S14" i="47" l="1"/>
  <c r="AL14" i="47" s="1"/>
  <c r="AH31" i="47"/>
  <c r="AL31" i="47"/>
  <c r="Y31" i="47"/>
  <c r="AL17" i="47"/>
  <c r="AH17" i="47"/>
  <c r="X17" i="47"/>
  <c r="AL15" i="47"/>
  <c r="AH15" i="47"/>
  <c r="X15" i="47"/>
  <c r="AL13" i="47"/>
  <c r="AH13" i="47"/>
  <c r="X13" i="47"/>
  <c r="H13" i="47"/>
  <c r="AA19" i="47"/>
  <c r="AK19" i="47" s="1"/>
  <c r="AA18" i="47"/>
  <c r="AK18" i="47" s="1"/>
  <c r="Y17" i="47"/>
  <c r="Y13" i="47"/>
  <c r="AA20" i="47"/>
  <c r="AK20" i="47" s="1"/>
  <c r="Y15" i="47"/>
  <c r="AG17" i="47"/>
  <c r="X16" i="47"/>
  <c r="AG16" i="47"/>
  <c r="X26" i="47"/>
  <c r="X38" i="47"/>
  <c r="AG13" i="47"/>
  <c r="AA17" i="47"/>
  <c r="AK17" i="47" s="1"/>
  <c r="X42" i="47"/>
  <c r="X41" i="47"/>
  <c r="X22" i="47"/>
  <c r="AG18" i="47"/>
  <c r="X23" i="47"/>
  <c r="X31" i="47"/>
  <c r="X39" i="47"/>
  <c r="AG23" i="47"/>
  <c r="AG27" i="47"/>
  <c r="AG31" i="47"/>
  <c r="AG35" i="47"/>
  <c r="AG39" i="47"/>
  <c r="AG22" i="47"/>
  <c r="AG26" i="47"/>
  <c r="AG30" i="47"/>
  <c r="AG34" i="47"/>
  <c r="AG38" i="47"/>
  <c r="AG42" i="47"/>
  <c r="X24" i="47"/>
  <c r="AG19" i="47"/>
  <c r="X33" i="47"/>
  <c r="AA25" i="47"/>
  <c r="AK25" i="47" s="1"/>
  <c r="AA33" i="47"/>
  <c r="AK33" i="47" s="1"/>
  <c r="AA41" i="47"/>
  <c r="AK41" i="47" s="1"/>
  <c r="AA24" i="47"/>
  <c r="AK24" i="47" s="1"/>
  <c r="AA32" i="47"/>
  <c r="AK32" i="47" s="1"/>
  <c r="AA40" i="47"/>
  <c r="AK40" i="47" s="1"/>
  <c r="X34" i="47"/>
  <c r="X37" i="47"/>
  <c r="AA31" i="47"/>
  <c r="AK31" i="47" s="1"/>
  <c r="AA22" i="47"/>
  <c r="AK22" i="47" s="1"/>
  <c r="AA34" i="47"/>
  <c r="AK34" i="47" s="1"/>
  <c r="AG14" i="47"/>
  <c r="X28" i="47"/>
  <c r="X40" i="47"/>
  <c r="X25" i="47"/>
  <c r="AA21" i="47"/>
  <c r="AK21" i="47" s="1"/>
  <c r="AA29" i="47"/>
  <c r="AK29" i="47" s="1"/>
  <c r="AA37" i="47"/>
  <c r="AK37" i="47" s="1"/>
  <c r="AA28" i="47"/>
  <c r="AK28" i="47" s="1"/>
  <c r="AA36" i="47"/>
  <c r="AK36" i="47" s="1"/>
  <c r="X36" i="47"/>
  <c r="AA16" i="47"/>
  <c r="AK16" i="47" s="1"/>
  <c r="X21" i="47"/>
  <c r="AA23" i="47"/>
  <c r="AK23" i="47" s="1"/>
  <c r="AA35" i="47"/>
  <c r="AK35" i="47" s="1"/>
  <c r="AA26" i="47"/>
  <c r="AK26" i="47" s="1"/>
  <c r="AA42" i="47"/>
  <c r="AK42" i="47" s="1"/>
  <c r="AG15" i="47"/>
  <c r="AA14" i="47"/>
  <c r="AK14" i="47" s="1"/>
  <c r="X14" i="47"/>
  <c r="X32" i="47"/>
  <c r="AA15" i="47"/>
  <c r="AK15" i="47" s="1"/>
  <c r="X18" i="47"/>
  <c r="X30" i="47"/>
  <c r="AG20" i="47"/>
  <c r="X27" i="47"/>
  <c r="X35" i="47"/>
  <c r="AG21" i="47"/>
  <c r="AG25" i="47"/>
  <c r="AG29" i="47"/>
  <c r="AG33" i="47"/>
  <c r="AG37" i="47"/>
  <c r="AG41" i="47"/>
  <c r="AG24" i="47"/>
  <c r="AG28" i="47"/>
  <c r="AG32" i="47"/>
  <c r="AG36" i="47"/>
  <c r="AG40" i="47"/>
  <c r="X19" i="47"/>
  <c r="AA13" i="47"/>
  <c r="AK13" i="47" s="1"/>
  <c r="X20" i="47"/>
  <c r="X29" i="47"/>
  <c r="AA27" i="47"/>
  <c r="AK27" i="47" s="1"/>
  <c r="AA39" i="47"/>
  <c r="AK39" i="47" s="1"/>
  <c r="AA30" i="47"/>
  <c r="AK30" i="47" s="1"/>
  <c r="AA38" i="47"/>
  <c r="AK38" i="47" s="1"/>
  <c r="S43" i="44"/>
  <c r="AH14" i="47" l="1"/>
  <c r="D13" i="47"/>
  <c r="D14" i="47"/>
  <c r="Y14" i="47"/>
  <c r="Y44" i="47" s="1"/>
  <c r="AN38" i="47"/>
  <c r="AJ38" i="47"/>
  <c r="AN23" i="47"/>
  <c r="AJ23" i="47"/>
  <c r="AN18" i="47"/>
  <c r="AJ18" i="47"/>
  <c r="AN30" i="47"/>
  <c r="AJ30" i="47"/>
  <c r="AN42" i="47"/>
  <c r="AJ42" i="47"/>
  <c r="AN28" i="47"/>
  <c r="AJ28" i="47"/>
  <c r="AN34" i="47"/>
  <c r="AJ34" i="47"/>
  <c r="AN41" i="47"/>
  <c r="AJ41" i="47"/>
  <c r="AN17" i="47"/>
  <c r="AJ17" i="47"/>
  <c r="AN20" i="47"/>
  <c r="AJ20" i="47"/>
  <c r="AN19" i="47"/>
  <c r="AJ19" i="47"/>
  <c r="AJ15" i="47"/>
  <c r="AN15" i="47"/>
  <c r="AN36" i="47"/>
  <c r="AJ36" i="47"/>
  <c r="AN39" i="47"/>
  <c r="AJ39" i="47"/>
  <c r="AK44" i="47"/>
  <c r="AN13" i="47"/>
  <c r="AJ13" i="47"/>
  <c r="AN26" i="47"/>
  <c r="AJ26" i="47"/>
  <c r="AN16" i="47"/>
  <c r="AJ16" i="47"/>
  <c r="AN37" i="47"/>
  <c r="AJ37" i="47"/>
  <c r="AN22" i="47"/>
  <c r="AJ22" i="47"/>
  <c r="AN40" i="47"/>
  <c r="AJ40" i="47"/>
  <c r="AN33" i="47"/>
  <c r="AJ33" i="47"/>
  <c r="AG44" i="47"/>
  <c r="AN21" i="47"/>
  <c r="AJ21" i="47"/>
  <c r="AN24" i="47"/>
  <c r="AJ24" i="47"/>
  <c r="AN27" i="47"/>
  <c r="AJ27" i="47"/>
  <c r="AN14" i="47"/>
  <c r="AJ14" i="47"/>
  <c r="AN35" i="47"/>
  <c r="AJ35" i="47"/>
  <c r="AN29" i="47"/>
  <c r="AJ29" i="47"/>
  <c r="AN31" i="47"/>
  <c r="AJ31" i="47"/>
  <c r="AN32" i="47"/>
  <c r="AJ32" i="47"/>
  <c r="AN25" i="47"/>
  <c r="AJ25" i="47"/>
  <c r="X44" i="47"/>
  <c r="S11" i="44"/>
  <c r="AO26" i="47" l="1"/>
  <c r="D26" i="47" s="1"/>
  <c r="F26" i="47"/>
  <c r="AO15" i="47"/>
  <c r="D15" i="47" s="1"/>
  <c r="AJ44" i="47"/>
  <c r="AM44" i="47" s="1"/>
  <c r="AL44" i="47" s="1"/>
  <c r="F39" i="47"/>
  <c r="AO39" i="47"/>
  <c r="D39" i="47" s="1"/>
  <c r="AO20" i="47"/>
  <c r="F41" i="47"/>
  <c r="AO41" i="47"/>
  <c r="D41" i="47" s="1"/>
  <c r="AO28" i="47"/>
  <c r="D28" i="47" s="1"/>
  <c r="F28" i="47"/>
  <c r="AO30" i="47"/>
  <c r="D30" i="47" s="1"/>
  <c r="F30" i="47"/>
  <c r="F23" i="47"/>
  <c r="AO23" i="47"/>
  <c r="D23" i="47" s="1"/>
  <c r="F31" i="47"/>
  <c r="AO31" i="47"/>
  <c r="D31" i="47" s="1"/>
  <c r="F27" i="47"/>
  <c r="AO27" i="47"/>
  <c r="D27" i="47" s="1"/>
  <c r="AO40" i="47"/>
  <c r="D40" i="47" s="1"/>
  <c r="F40" i="47"/>
  <c r="AO32" i="47"/>
  <c r="D32" i="47" s="1"/>
  <c r="F32" i="47"/>
  <c r="F29" i="47"/>
  <c r="AO29" i="47"/>
  <c r="D29" i="47" s="1"/>
  <c r="AO14" i="47"/>
  <c r="AO24" i="47"/>
  <c r="D24" i="47" s="1"/>
  <c r="F24" i="47"/>
  <c r="F33" i="47"/>
  <c r="AO33" i="47"/>
  <c r="D33" i="47" s="1"/>
  <c r="AO22" i="47"/>
  <c r="D22" i="47" s="1"/>
  <c r="F22" i="47"/>
  <c r="AO16" i="47"/>
  <c r="AN44" i="47"/>
  <c r="AO13" i="47"/>
  <c r="F25" i="47"/>
  <c r="AO25" i="47"/>
  <c r="D25" i="47" s="1"/>
  <c r="F35" i="47"/>
  <c r="AO35" i="47"/>
  <c r="D35" i="47" s="1"/>
  <c r="AO21" i="47"/>
  <c r="F37" i="47"/>
  <c r="AO37" i="47"/>
  <c r="D37" i="47" s="1"/>
  <c r="AO36" i="47"/>
  <c r="D36" i="47" s="1"/>
  <c r="F36" i="47"/>
  <c r="AO19" i="47"/>
  <c r="AO17" i="47"/>
  <c r="AO34" i="47"/>
  <c r="D34" i="47" s="1"/>
  <c r="F34" i="47"/>
  <c r="AO42" i="47"/>
  <c r="D42" i="47" s="1"/>
  <c r="F42" i="47"/>
  <c r="AO18" i="47"/>
  <c r="AO38" i="47"/>
  <c r="D38" i="47" s="1"/>
  <c r="F38" i="47"/>
  <c r="U24" i="44"/>
  <c r="B24" i="44" s="1"/>
  <c r="U23" i="44"/>
  <c r="B23" i="44" s="1"/>
  <c r="T16" i="44"/>
  <c r="T20" i="44"/>
  <c r="T24" i="44"/>
  <c r="T28" i="44"/>
  <c r="T32" i="44"/>
  <c r="T36" i="44"/>
  <c r="T40" i="44"/>
  <c r="T14" i="44"/>
  <c r="T18" i="44"/>
  <c r="T22" i="44"/>
  <c r="T26" i="44"/>
  <c r="T30" i="44"/>
  <c r="T34" i="44"/>
  <c r="T38" i="44"/>
  <c r="T42" i="44"/>
  <c r="T15" i="44"/>
  <c r="T37" i="44"/>
  <c r="T23" i="44"/>
  <c r="T29" i="44"/>
  <c r="T13" i="44"/>
  <c r="T39" i="44"/>
  <c r="T35" i="44"/>
  <c r="T33" i="44"/>
  <c r="T19" i="44"/>
  <c r="T21" i="44"/>
  <c r="T27" i="44"/>
  <c r="T17" i="44"/>
  <c r="T25" i="44"/>
  <c r="T41" i="44"/>
  <c r="T31" i="44"/>
  <c r="U17" i="44"/>
  <c r="U15" i="44"/>
  <c r="U13" i="44"/>
  <c r="W40" i="44"/>
  <c r="W38" i="44"/>
  <c r="W36" i="44"/>
  <c r="W34" i="44"/>
  <c r="W32" i="44"/>
  <c r="W30" i="44"/>
  <c r="W28" i="44"/>
  <c r="W26" i="44"/>
  <c r="W24" i="44"/>
  <c r="W22" i="44"/>
  <c r="W20" i="44"/>
  <c r="W18" i="44"/>
  <c r="F13" i="44"/>
  <c r="W13" i="44"/>
  <c r="W21" i="44"/>
  <c r="W29" i="44"/>
  <c r="W37" i="44"/>
  <c r="W16" i="44"/>
  <c r="W31" i="44"/>
  <c r="W25" i="44"/>
  <c r="W33" i="44"/>
  <c r="W41" i="44"/>
  <c r="W15" i="44"/>
  <c r="W14" i="44"/>
  <c r="W19" i="44"/>
  <c r="W27" i="44"/>
  <c r="W35" i="44"/>
  <c r="W42" i="44"/>
  <c r="W17" i="44"/>
  <c r="W23" i="44"/>
  <c r="W39" i="44"/>
  <c r="E29" i="47" l="1"/>
  <c r="E31" i="47"/>
  <c r="E41" i="47"/>
  <c r="E42" i="47"/>
  <c r="E34" i="47"/>
  <c r="E37" i="47"/>
  <c r="E35" i="47"/>
  <c r="E32" i="47"/>
  <c r="E28" i="47"/>
  <c r="E38" i="47"/>
  <c r="E36" i="47"/>
  <c r="AO44" i="47"/>
  <c r="F44" i="47"/>
  <c r="E39" i="47"/>
  <c r="E25" i="47"/>
  <c r="E22" i="47"/>
  <c r="E24" i="47"/>
  <c r="E40" i="47"/>
  <c r="E30" i="47"/>
  <c r="E33" i="47"/>
  <c r="E27" i="47"/>
  <c r="E23" i="47"/>
  <c r="E26" i="47"/>
  <c r="S88" i="44"/>
  <c r="F47" i="44"/>
  <c r="H47" i="44" s="1"/>
  <c r="D17" i="44"/>
  <c r="D19" i="44"/>
  <c r="D33" i="44"/>
  <c r="D37" i="44"/>
  <c r="D24" i="44"/>
  <c r="D40" i="44"/>
  <c r="D42" i="44"/>
  <c r="D14" i="44"/>
  <c r="D25" i="44"/>
  <c r="D29" i="44"/>
  <c r="D18" i="44"/>
  <c r="D26" i="44"/>
  <c r="D34" i="44"/>
  <c r="D39" i="44"/>
  <c r="D35" i="44"/>
  <c r="D15" i="44"/>
  <c r="D31" i="44"/>
  <c r="D21" i="44"/>
  <c r="D20" i="44"/>
  <c r="D28" i="44"/>
  <c r="D23" i="44"/>
  <c r="D27" i="44"/>
  <c r="D41" i="44"/>
  <c r="D16" i="44"/>
  <c r="D13" i="44"/>
  <c r="D22" i="44"/>
  <c r="D30" i="44"/>
  <c r="D38" i="44"/>
  <c r="D32" i="44"/>
  <c r="D36" i="44"/>
  <c r="U44" i="44"/>
  <c r="T44" i="44"/>
  <c r="D15" i="28"/>
  <c r="E15" i="28" s="1"/>
  <c r="G15" i="28" s="1"/>
  <c r="C15" i="28"/>
  <c r="E14" i="28"/>
  <c r="D14" i="28"/>
  <c r="C14" i="28"/>
  <c r="D13" i="28"/>
  <c r="E13" i="28" s="1"/>
  <c r="G13" i="28" s="1"/>
  <c r="C13" i="28"/>
  <c r="E12" i="28"/>
  <c r="D12" i="28"/>
  <c r="C12" i="28"/>
  <c r="D11" i="28"/>
  <c r="E11" i="28" s="1"/>
  <c r="G11" i="28" s="1"/>
  <c r="C11" i="28"/>
  <c r="E10" i="28"/>
  <c r="D10" i="28"/>
  <c r="C10" i="28"/>
  <c r="D9" i="28"/>
  <c r="E9" i="28" s="1"/>
  <c r="G9" i="28" s="1"/>
  <c r="C9" i="28"/>
  <c r="E8" i="28"/>
  <c r="D8" i="28"/>
  <c r="C8" i="28"/>
  <c r="D7" i="28"/>
  <c r="E7" i="28" s="1"/>
  <c r="C7" i="28"/>
  <c r="E6" i="28"/>
  <c r="D6" i="28"/>
  <c r="C6" i="28"/>
  <c r="C16" i="28" s="1"/>
  <c r="E15" i="29"/>
  <c r="D15" i="29"/>
  <c r="C15" i="29"/>
  <c r="D14" i="29"/>
  <c r="E14" i="29" s="1"/>
  <c r="C14" i="29"/>
  <c r="E13" i="29"/>
  <c r="D13" i="29"/>
  <c r="C13" i="29"/>
  <c r="D12" i="29"/>
  <c r="E12" i="29" s="1"/>
  <c r="C12" i="29"/>
  <c r="E11" i="29"/>
  <c r="D11" i="29"/>
  <c r="C11" i="29"/>
  <c r="D10" i="29"/>
  <c r="E10" i="29" s="1"/>
  <c r="C10" i="29"/>
  <c r="E9" i="29"/>
  <c r="D9" i="29"/>
  <c r="C9" i="29"/>
  <c r="D8" i="29"/>
  <c r="E8" i="29" s="1"/>
  <c r="C8" i="29"/>
  <c r="E7" i="29"/>
  <c r="D7" i="29"/>
  <c r="C7" i="29"/>
  <c r="D6" i="29"/>
  <c r="E6" i="29" s="1"/>
  <c r="C6" i="29"/>
  <c r="D15" i="30"/>
  <c r="E15" i="30" s="1"/>
  <c r="G15" i="30" s="1"/>
  <c r="C15" i="30"/>
  <c r="D14" i="30"/>
  <c r="E14" i="30" s="1"/>
  <c r="G14" i="30" s="1"/>
  <c r="C14" i="30"/>
  <c r="E13" i="30"/>
  <c r="D13" i="30"/>
  <c r="C13" i="30"/>
  <c r="D12" i="30"/>
  <c r="E12" i="30" s="1"/>
  <c r="G12" i="30" s="1"/>
  <c r="C12" i="30"/>
  <c r="D11" i="30"/>
  <c r="E11" i="30" s="1"/>
  <c r="G11" i="30" s="1"/>
  <c r="C11" i="30"/>
  <c r="E10" i="30"/>
  <c r="D10" i="30"/>
  <c r="C10" i="30"/>
  <c r="E9" i="30"/>
  <c r="D9" i="30"/>
  <c r="C9" i="30"/>
  <c r="D8" i="30"/>
  <c r="E8" i="30" s="1"/>
  <c r="G8" i="30" s="1"/>
  <c r="C8" i="30"/>
  <c r="D7" i="30"/>
  <c r="E7" i="30" s="1"/>
  <c r="C7" i="30"/>
  <c r="E6" i="30"/>
  <c r="D6" i="30"/>
  <c r="C6" i="30"/>
  <c r="D15" i="32"/>
  <c r="E15" i="32" s="1"/>
  <c r="G15" i="32" s="1"/>
  <c r="C15" i="32"/>
  <c r="D14" i="32"/>
  <c r="E14" i="32" s="1"/>
  <c r="G14" i="32" s="1"/>
  <c r="C14" i="32"/>
  <c r="E13" i="32"/>
  <c r="D13" i="32"/>
  <c r="C13" i="32"/>
  <c r="E12" i="32"/>
  <c r="D12" i="32"/>
  <c r="C12" i="32"/>
  <c r="D11" i="32"/>
  <c r="E11" i="32" s="1"/>
  <c r="G11" i="32" s="1"/>
  <c r="C11" i="32"/>
  <c r="D10" i="32"/>
  <c r="E10" i="32" s="1"/>
  <c r="G10" i="32" s="1"/>
  <c r="C10" i="32"/>
  <c r="E9" i="32"/>
  <c r="D9" i="32"/>
  <c r="C9" i="32"/>
  <c r="E8" i="32"/>
  <c r="D8" i="32"/>
  <c r="C8" i="32"/>
  <c r="D7" i="32"/>
  <c r="E7" i="32" s="1"/>
  <c r="G7" i="32" s="1"/>
  <c r="C7" i="32"/>
  <c r="D6" i="32"/>
  <c r="E6" i="32" s="1"/>
  <c r="C6" i="32"/>
  <c r="C16" i="32" s="1"/>
  <c r="D16" i="33"/>
  <c r="E16" i="33" s="1"/>
  <c r="C16" i="33"/>
  <c r="E15" i="33"/>
  <c r="D15" i="33"/>
  <c r="C15" i="33"/>
  <c r="D14" i="33"/>
  <c r="E14" i="33" s="1"/>
  <c r="C14" i="33"/>
  <c r="E13" i="33"/>
  <c r="D13" i="33"/>
  <c r="C13" i="33"/>
  <c r="D12" i="33"/>
  <c r="E12" i="33" s="1"/>
  <c r="C12" i="33"/>
  <c r="E11" i="33"/>
  <c r="D11" i="33"/>
  <c r="C11" i="33"/>
  <c r="D10" i="33"/>
  <c r="E10" i="33" s="1"/>
  <c r="G10" i="33" s="1"/>
  <c r="C10" i="33"/>
  <c r="E9" i="33"/>
  <c r="G9" i="33" s="1"/>
  <c r="D9" i="33"/>
  <c r="C9" i="33"/>
  <c r="D8" i="33"/>
  <c r="E8" i="33" s="1"/>
  <c r="G8" i="33" s="1"/>
  <c r="C8" i="33"/>
  <c r="E7" i="33"/>
  <c r="G7" i="33" s="1"/>
  <c r="D7" i="33"/>
  <c r="C7" i="33"/>
  <c r="D6" i="33"/>
  <c r="E6" i="33" s="1"/>
  <c r="C6" i="33"/>
  <c r="E16" i="34"/>
  <c r="G16" i="34" s="1"/>
  <c r="D16" i="34"/>
  <c r="C16" i="34"/>
  <c r="D15" i="34"/>
  <c r="E15" i="34" s="1"/>
  <c r="G15" i="34" s="1"/>
  <c r="C15" i="34"/>
  <c r="E14" i="34"/>
  <c r="G14" i="34" s="1"/>
  <c r="D14" i="34"/>
  <c r="C14" i="34"/>
  <c r="D13" i="34"/>
  <c r="E13" i="34" s="1"/>
  <c r="G13" i="34" s="1"/>
  <c r="C13" i="34"/>
  <c r="E12" i="34"/>
  <c r="G12" i="34" s="1"/>
  <c r="D12" i="34"/>
  <c r="C12" i="34"/>
  <c r="D11" i="34"/>
  <c r="E11" i="34" s="1"/>
  <c r="G11" i="34" s="1"/>
  <c r="C11" i="34"/>
  <c r="E10" i="34"/>
  <c r="G10" i="34" s="1"/>
  <c r="D10" i="34"/>
  <c r="C10" i="34"/>
  <c r="D9" i="34"/>
  <c r="E9" i="34" s="1"/>
  <c r="G9" i="34" s="1"/>
  <c r="C9" i="34"/>
  <c r="E8" i="34"/>
  <c r="G8" i="34" s="1"/>
  <c r="D8" i="34"/>
  <c r="C8" i="34"/>
  <c r="D7" i="34"/>
  <c r="D17" i="34" s="1"/>
  <c r="C7" i="34"/>
  <c r="E6" i="34"/>
  <c r="D6" i="34"/>
  <c r="C6" i="34"/>
  <c r="C17" i="34" s="1"/>
  <c r="E16" i="35"/>
  <c r="D16" i="35"/>
  <c r="C16" i="35"/>
  <c r="E15" i="35"/>
  <c r="G15" i="35" s="1"/>
  <c r="D15" i="35"/>
  <c r="C15" i="35"/>
  <c r="D14" i="35"/>
  <c r="E14" i="35" s="1"/>
  <c r="G14" i="35" s="1"/>
  <c r="C14" i="35"/>
  <c r="D13" i="35"/>
  <c r="E13" i="35" s="1"/>
  <c r="G13" i="35" s="1"/>
  <c r="C13" i="35"/>
  <c r="E12" i="35"/>
  <c r="D12" i="35"/>
  <c r="C12" i="35"/>
  <c r="E11" i="35"/>
  <c r="G11" i="35" s="1"/>
  <c r="D11" i="35"/>
  <c r="C11" i="35"/>
  <c r="D10" i="35"/>
  <c r="E10" i="35" s="1"/>
  <c r="G10" i="35" s="1"/>
  <c r="C10" i="35"/>
  <c r="D9" i="35"/>
  <c r="E9" i="35" s="1"/>
  <c r="G9" i="35" s="1"/>
  <c r="C9" i="35"/>
  <c r="C17" i="35" s="1"/>
  <c r="E8" i="35"/>
  <c r="D8" i="35"/>
  <c r="C8" i="35"/>
  <c r="E7" i="35"/>
  <c r="G7" i="35" s="1"/>
  <c r="D7" i="35"/>
  <c r="C7" i="35"/>
  <c r="D6" i="35"/>
  <c r="D17" i="35" s="1"/>
  <c r="C6" i="35"/>
  <c r="B17" i="35"/>
  <c r="G16" i="35"/>
  <c r="G12" i="35"/>
  <c r="G8" i="35"/>
  <c r="B17" i="34"/>
  <c r="B17" i="33"/>
  <c r="C17" i="33"/>
  <c r="B16" i="32"/>
  <c r="G13" i="32"/>
  <c r="G12" i="32"/>
  <c r="G9" i="32"/>
  <c r="G8" i="32"/>
  <c r="C16" i="30"/>
  <c r="B16" i="30"/>
  <c r="G13" i="30"/>
  <c r="G10" i="30"/>
  <c r="G9" i="30"/>
  <c r="B16" i="29"/>
  <c r="G15" i="29" s="1"/>
  <c r="B16" i="28"/>
  <c r="G14" i="28"/>
  <c r="G12" i="28"/>
  <c r="G10" i="28"/>
  <c r="G8" i="28"/>
  <c r="AP14" i="47" l="1"/>
  <c r="AP31" i="47"/>
  <c r="B31" i="47" s="1"/>
  <c r="F11" i="47"/>
  <c r="D44" i="47"/>
  <c r="D11" i="47" s="1"/>
  <c r="AQ44" i="47"/>
  <c r="AP44" i="47" s="1"/>
  <c r="AP15" i="47"/>
  <c r="AP17" i="47"/>
  <c r="AP13" i="47"/>
  <c r="G7" i="28"/>
  <c r="E16" i="28"/>
  <c r="D16" i="28"/>
  <c r="G7" i="30"/>
  <c r="E16" i="30"/>
  <c r="D16" i="30"/>
  <c r="E16" i="32"/>
  <c r="D16" i="32"/>
  <c r="G16" i="33"/>
  <c r="E7" i="34"/>
  <c r="G7" i="34" s="1"/>
  <c r="E6" i="35"/>
  <c r="G6" i="35" s="1"/>
  <c r="G17" i="35"/>
  <c r="G6" i="33"/>
  <c r="G12" i="33"/>
  <c r="G13" i="33"/>
  <c r="G14" i="33"/>
  <c r="G15" i="33"/>
  <c r="G6" i="32"/>
  <c r="G16" i="32" s="1"/>
  <c r="G6" i="30"/>
  <c r="G16" i="30" s="1"/>
  <c r="C16" i="29"/>
  <c r="G7" i="29"/>
  <c r="G8" i="29"/>
  <c r="G9" i="29"/>
  <c r="G10" i="29"/>
  <c r="G11" i="29"/>
  <c r="G12" i="29"/>
  <c r="G13" i="29"/>
  <c r="G14" i="29"/>
  <c r="G6" i="28"/>
  <c r="G16" i="28" s="1"/>
  <c r="P8" i="47" l="1"/>
  <c r="C47" i="47" s="1"/>
  <c r="H47" i="47" s="1"/>
  <c r="B44" i="47"/>
  <c r="C44" i="47"/>
  <c r="E44" i="47" s="1"/>
  <c r="F16" i="28"/>
  <c r="F16" i="30"/>
  <c r="F16" i="32"/>
  <c r="E17" i="35"/>
  <c r="F17" i="35"/>
  <c r="E17" i="34"/>
  <c r="G6" i="34"/>
  <c r="G17" i="34" s="1"/>
  <c r="D17" i="33"/>
  <c r="D16" i="29"/>
  <c r="D44" i="44" l="1"/>
  <c r="F17" i="34"/>
  <c r="G11" i="33"/>
  <c r="G17" i="33" s="1"/>
  <c r="E17" i="33"/>
  <c r="G6" i="29"/>
  <c r="G16" i="29" s="1"/>
  <c r="E16" i="29"/>
  <c r="B44" i="44" l="1"/>
  <c r="F16" i="29"/>
  <c r="F17" i="33"/>
  <c r="Q131" i="22" l="1"/>
  <c r="D131" i="22"/>
  <c r="Q89" i="22"/>
  <c r="D89" i="22"/>
  <c r="Q47" i="22"/>
  <c r="D47" i="22"/>
  <c r="Q5" i="22"/>
  <c r="D5" i="22"/>
  <c r="B3" i="22"/>
  <c r="M8" i="18" l="1"/>
  <c r="N8" i="18" s="1"/>
  <c r="M9" i="18"/>
  <c r="N9" i="18" s="1"/>
  <c r="M10" i="18"/>
  <c r="N10" i="18" s="1"/>
  <c r="M11" i="18"/>
  <c r="N11" i="18" s="1"/>
  <c r="M12" i="18"/>
  <c r="N12" i="18" s="1"/>
  <c r="M13" i="18"/>
  <c r="N13" i="18" s="1"/>
  <c r="M14" i="18"/>
  <c r="N14" i="18" s="1"/>
  <c r="M15" i="18"/>
  <c r="N15" i="18" s="1"/>
  <c r="M16" i="18"/>
  <c r="N16" i="18" s="1"/>
  <c r="M17" i="18"/>
  <c r="N17" i="18" s="1"/>
  <c r="M18" i="18"/>
  <c r="N18" i="18" s="1"/>
  <c r="M19" i="18"/>
  <c r="N19" i="18" s="1"/>
  <c r="M20" i="18"/>
  <c r="N20" i="18" s="1"/>
  <c r="M21" i="18"/>
  <c r="N21" i="18" s="1"/>
  <c r="M22" i="18"/>
  <c r="N22" i="18" s="1"/>
  <c r="M23" i="18"/>
  <c r="N23" i="18" s="1"/>
  <c r="M24" i="18"/>
  <c r="N24" i="18" s="1"/>
  <c r="M25" i="18"/>
  <c r="N25" i="18" s="1"/>
  <c r="M26" i="18"/>
  <c r="N26" i="18" s="1"/>
  <c r="M27" i="18"/>
  <c r="N27" i="18" s="1"/>
  <c r="M28" i="18"/>
  <c r="N28" i="18" s="1"/>
  <c r="M29" i="18"/>
  <c r="N29" i="18" s="1"/>
  <c r="M30" i="18"/>
  <c r="N30" i="18" s="1"/>
  <c r="M31" i="18"/>
  <c r="N31" i="18" s="1"/>
  <c r="M32" i="18"/>
  <c r="N32" i="18" s="1"/>
  <c r="M33" i="18"/>
  <c r="N33" i="18" s="1"/>
  <c r="M34" i="18"/>
  <c r="N34" i="18" s="1"/>
  <c r="M35" i="18"/>
  <c r="N35" i="18" s="1"/>
  <c r="M36" i="18"/>
  <c r="N36" i="18" s="1"/>
  <c r="M37" i="18"/>
  <c r="N37" i="18" s="1"/>
  <c r="M38" i="18"/>
  <c r="N38" i="18" s="1"/>
  <c r="M39" i="18"/>
  <c r="N39" i="18" s="1"/>
  <c r="M40" i="18"/>
  <c r="N40" i="18" s="1"/>
  <c r="M41" i="18"/>
  <c r="N41" i="18" s="1"/>
  <c r="M42" i="18"/>
  <c r="N42" i="18" s="1"/>
  <c r="M43" i="18"/>
  <c r="N43" i="18" s="1"/>
  <c r="M44" i="18"/>
  <c r="N44" i="18" s="1"/>
  <c r="M45" i="18"/>
  <c r="N45" i="18" s="1"/>
  <c r="M46" i="18"/>
  <c r="N46" i="18" s="1"/>
  <c r="M47" i="18"/>
  <c r="N47" i="18" s="1"/>
  <c r="M48" i="18"/>
  <c r="N48" i="18" s="1"/>
  <c r="M49" i="18"/>
  <c r="N49" i="18" s="1"/>
  <c r="M50" i="18"/>
  <c r="N50" i="18" s="1"/>
  <c r="M51" i="18"/>
  <c r="N51" i="18" s="1"/>
  <c r="M52" i="18"/>
  <c r="N52" i="18" s="1"/>
  <c r="M53" i="18"/>
  <c r="N53" i="18" s="1"/>
  <c r="M54" i="18"/>
  <c r="N54" i="18" s="1"/>
  <c r="M55" i="18"/>
  <c r="N55" i="18" s="1"/>
  <c r="M56" i="18"/>
  <c r="N56" i="18" s="1"/>
  <c r="M57" i="18"/>
  <c r="N57" i="18" s="1"/>
  <c r="M58" i="18"/>
  <c r="N58" i="18" s="1"/>
  <c r="M59" i="18"/>
  <c r="N59" i="18" s="1"/>
  <c r="M60" i="18"/>
  <c r="N60" i="18" s="1"/>
  <c r="M61" i="18"/>
  <c r="N61" i="18" s="1"/>
  <c r="M62" i="18"/>
  <c r="N62" i="18" s="1"/>
  <c r="M63" i="18"/>
  <c r="N63" i="18" s="1"/>
  <c r="M64" i="18"/>
  <c r="N64" i="18" s="1"/>
  <c r="M65" i="18"/>
  <c r="N65" i="18" s="1"/>
  <c r="M66" i="18"/>
  <c r="N66" i="18" s="1"/>
  <c r="M67" i="18"/>
  <c r="N67" i="18" s="1"/>
  <c r="M68" i="18"/>
  <c r="N68" i="18" s="1"/>
  <c r="T58" i="18"/>
  <c r="U58" i="18" s="1"/>
  <c r="T57" i="18"/>
  <c r="U57" i="18" s="1"/>
  <c r="T56" i="18"/>
  <c r="U56" i="18" s="1"/>
  <c r="T55" i="18"/>
  <c r="U55" i="18" s="1"/>
  <c r="T54" i="18"/>
  <c r="U54" i="18" s="1"/>
  <c r="T53" i="18"/>
  <c r="U53" i="18" s="1"/>
  <c r="T52" i="18"/>
  <c r="U52" i="18" s="1"/>
  <c r="T51" i="18"/>
  <c r="U51" i="18" s="1"/>
  <c r="T50" i="18"/>
  <c r="U50" i="18" s="1"/>
  <c r="T49" i="18"/>
  <c r="U49" i="18" s="1"/>
  <c r="T48" i="18"/>
  <c r="U48" i="18" s="1"/>
  <c r="T47" i="18"/>
  <c r="U47" i="18" s="1"/>
  <c r="T46" i="18"/>
  <c r="U46" i="18" s="1"/>
  <c r="T45" i="18"/>
  <c r="U45" i="18" s="1"/>
  <c r="T44" i="18"/>
  <c r="U44" i="18" s="1"/>
  <c r="T43" i="18"/>
  <c r="U43" i="18" s="1"/>
  <c r="T42" i="18"/>
  <c r="U42" i="18" s="1"/>
  <c r="T41" i="18"/>
  <c r="U41" i="18" s="1"/>
  <c r="T40" i="18"/>
  <c r="U40" i="18" s="1"/>
  <c r="T39" i="18"/>
  <c r="U39" i="18" s="1"/>
  <c r="T38" i="18"/>
  <c r="U38" i="18" s="1"/>
  <c r="T37" i="18"/>
  <c r="U37" i="18" s="1"/>
  <c r="T36" i="18"/>
  <c r="U36" i="18" s="1"/>
  <c r="T35" i="18"/>
  <c r="U35" i="18" s="1"/>
  <c r="T34" i="18"/>
  <c r="U34" i="18" s="1"/>
  <c r="T33" i="18"/>
  <c r="U33" i="18" s="1"/>
  <c r="T32" i="18"/>
  <c r="U32" i="18" s="1"/>
  <c r="T31" i="18"/>
  <c r="U31" i="18" s="1"/>
  <c r="T30" i="18"/>
  <c r="U30" i="18" s="1"/>
  <c r="T29" i="18"/>
  <c r="U29" i="18" s="1"/>
  <c r="T28" i="18"/>
  <c r="U28" i="18" s="1"/>
  <c r="T27" i="18"/>
  <c r="U27" i="18" s="1"/>
  <c r="T26" i="18"/>
  <c r="U26" i="18" s="1"/>
  <c r="T25" i="18"/>
  <c r="U25" i="18" s="1"/>
  <c r="T24" i="18"/>
  <c r="U24" i="18" s="1"/>
  <c r="T23" i="18"/>
  <c r="U23" i="18" s="1"/>
  <c r="T22" i="18"/>
  <c r="U22" i="18" s="1"/>
  <c r="T21" i="18"/>
  <c r="U21" i="18" s="1"/>
  <c r="T20" i="18"/>
  <c r="U20" i="18" s="1"/>
  <c r="T19" i="18"/>
  <c r="U19" i="18" s="1"/>
  <c r="T18" i="18"/>
  <c r="U18" i="18" s="1"/>
  <c r="T17" i="18"/>
  <c r="U17" i="18" s="1"/>
  <c r="T16" i="18"/>
  <c r="U16" i="18" s="1"/>
  <c r="T15" i="18"/>
  <c r="U15" i="18" s="1"/>
  <c r="T14" i="18"/>
  <c r="U14" i="18" s="1"/>
  <c r="T13" i="18"/>
  <c r="U13" i="18" s="1"/>
  <c r="T12" i="18"/>
  <c r="U12" i="18" s="1"/>
  <c r="T11" i="18"/>
  <c r="U11" i="18" s="1"/>
  <c r="T10" i="18"/>
  <c r="U10" i="18" s="1"/>
  <c r="T9" i="18"/>
  <c r="U9" i="18" s="1"/>
  <c r="T8" i="18"/>
  <c r="U8" i="18" s="1"/>
  <c r="T7" i="18"/>
  <c r="U7" i="18" s="1"/>
  <c r="F9" i="18"/>
  <c r="G9" i="18" s="1"/>
  <c r="F10" i="18"/>
  <c r="G10" i="18" s="1"/>
  <c r="F11" i="18"/>
  <c r="G11" i="18" s="1"/>
  <c r="F12" i="18"/>
  <c r="G12" i="18" s="1"/>
  <c r="F13" i="18"/>
  <c r="G13" i="18" s="1"/>
  <c r="F14" i="18"/>
  <c r="G14" i="18" s="1"/>
  <c r="F15" i="18"/>
  <c r="G15" i="18" s="1"/>
  <c r="F16" i="18"/>
  <c r="G16" i="18" s="1"/>
  <c r="F17" i="18"/>
  <c r="G17" i="18" s="1"/>
  <c r="F18" i="18"/>
  <c r="G18" i="18" s="1"/>
  <c r="F19" i="18"/>
  <c r="G19" i="18" s="1"/>
  <c r="F20" i="18"/>
  <c r="G20" i="18" s="1"/>
  <c r="F21" i="18"/>
  <c r="G21" i="18" s="1"/>
  <c r="F22" i="18"/>
  <c r="G22" i="18" s="1"/>
  <c r="F23" i="18"/>
  <c r="G23" i="18" s="1"/>
  <c r="F24" i="18"/>
  <c r="G24" i="18" s="1"/>
  <c r="F25" i="18"/>
  <c r="G25" i="18" s="1"/>
  <c r="F26" i="18"/>
  <c r="G26" i="18" s="1"/>
  <c r="F27" i="18"/>
  <c r="G27" i="18" s="1"/>
  <c r="F28" i="18"/>
  <c r="G28" i="18" s="1"/>
  <c r="F29" i="18"/>
  <c r="G29" i="18" s="1"/>
  <c r="F30" i="18"/>
  <c r="G30" i="18" s="1"/>
  <c r="F31" i="18"/>
  <c r="G31" i="18" s="1"/>
  <c r="F32" i="18"/>
  <c r="G32" i="18" s="1"/>
  <c r="F33" i="18"/>
  <c r="G33" i="18" s="1"/>
  <c r="F34" i="18"/>
  <c r="G34" i="18" s="1"/>
  <c r="F35" i="18"/>
  <c r="G35" i="18" s="1"/>
  <c r="F36" i="18"/>
  <c r="G36" i="18" s="1"/>
  <c r="F37" i="18"/>
  <c r="G37" i="18" s="1"/>
  <c r="F38" i="18"/>
  <c r="G38" i="18" s="1"/>
  <c r="F39" i="18"/>
  <c r="G39" i="18" s="1"/>
  <c r="F40" i="18"/>
  <c r="G40" i="18" s="1"/>
  <c r="F41" i="18"/>
  <c r="G41" i="18" s="1"/>
  <c r="F42" i="18"/>
  <c r="G42" i="18" s="1"/>
  <c r="F43" i="18"/>
  <c r="G43" i="18" s="1"/>
  <c r="F44" i="18"/>
  <c r="G44" i="18" s="1"/>
  <c r="F45" i="18"/>
  <c r="G45" i="18" s="1"/>
  <c r="F46" i="18"/>
  <c r="G46" i="18" s="1"/>
  <c r="F47" i="18"/>
  <c r="G47" i="18" s="1"/>
  <c r="F48" i="18"/>
  <c r="G48" i="18" s="1"/>
  <c r="F49" i="18"/>
  <c r="G49" i="18" s="1"/>
  <c r="F50" i="18"/>
  <c r="G50" i="18" s="1"/>
  <c r="F51" i="18"/>
  <c r="G51" i="18" s="1"/>
  <c r="F52" i="18"/>
  <c r="G52" i="18" s="1"/>
  <c r="F53" i="18"/>
  <c r="G53" i="18" s="1"/>
  <c r="F54" i="18"/>
  <c r="G54" i="18" s="1"/>
  <c r="F55" i="18"/>
  <c r="G55" i="18" s="1"/>
  <c r="F56" i="18"/>
  <c r="G56" i="18" s="1"/>
  <c r="F57" i="18"/>
  <c r="G57" i="18" s="1"/>
  <c r="F58" i="18"/>
  <c r="G58" i="18" s="1"/>
  <c r="F59" i="18"/>
  <c r="G59" i="18" s="1"/>
  <c r="F60" i="18"/>
  <c r="G60" i="18" s="1"/>
  <c r="F61" i="18"/>
  <c r="G61" i="18" s="1"/>
  <c r="F62" i="18"/>
  <c r="G62" i="18" s="1"/>
  <c r="F63" i="18"/>
  <c r="G63" i="18" s="1"/>
  <c r="F64" i="18"/>
  <c r="G64" i="18" s="1"/>
  <c r="F65" i="18"/>
  <c r="G65" i="18" s="1"/>
  <c r="F66" i="18"/>
  <c r="G66" i="18" s="1"/>
  <c r="M7" i="18"/>
  <c r="N7" i="18" s="1"/>
  <c r="F8" i="18"/>
  <c r="G8" i="18" s="1"/>
  <c r="F7" i="18"/>
  <c r="G7" i="18" s="1"/>
  <c r="L145" i="6" l="1"/>
  <c r="L144" i="6"/>
  <c r="F144" i="6"/>
  <c r="K141" i="6"/>
  <c r="J137" i="6"/>
  <c r="L135" i="6"/>
  <c r="L140" i="6" s="1"/>
  <c r="F140" i="6" s="1"/>
  <c r="N110" i="6"/>
  <c r="C110" i="6" s="1"/>
  <c r="W110" i="6" s="1"/>
  <c r="M110" i="6"/>
  <c r="G110" i="6"/>
  <c r="M109" i="6"/>
  <c r="I109" i="6"/>
  <c r="I110" i="6" s="1"/>
  <c r="H109" i="6"/>
  <c r="H110" i="6" s="1"/>
  <c r="G109" i="6"/>
  <c r="W108" i="6"/>
  <c r="W107" i="6"/>
  <c r="N106" i="6"/>
  <c r="C106" i="6"/>
  <c r="W106" i="6" s="1"/>
  <c r="B106" i="6"/>
  <c r="W105" i="6"/>
  <c r="J105" i="6"/>
  <c r="W104" i="6"/>
  <c r="W103" i="6"/>
  <c r="W102" i="6"/>
  <c r="W101" i="6"/>
  <c r="W100" i="6"/>
  <c r="W99" i="6"/>
  <c r="W98" i="6"/>
  <c r="W97" i="6"/>
  <c r="W96" i="6"/>
  <c r="W95" i="6"/>
  <c r="W94" i="6"/>
  <c r="W93" i="6"/>
  <c r="W92" i="6"/>
  <c r="W91" i="6"/>
  <c r="W90" i="6"/>
  <c r="W89" i="6"/>
  <c r="W88" i="6"/>
  <c r="W87" i="6"/>
  <c r="W86" i="6"/>
  <c r="W85" i="6"/>
  <c r="W84" i="6"/>
  <c r="G83" i="6"/>
  <c r="H83" i="6" s="1"/>
  <c r="Y82" i="6"/>
  <c r="X82" i="6"/>
  <c r="W82" i="6"/>
  <c r="G82" i="6"/>
  <c r="H82" i="6" s="1"/>
  <c r="Y81" i="6"/>
  <c r="X81" i="6"/>
  <c r="W81" i="6"/>
  <c r="H81" i="6"/>
  <c r="G81" i="6"/>
  <c r="Y80" i="6"/>
  <c r="X80" i="6"/>
  <c r="W80" i="6"/>
  <c r="M80" i="6"/>
  <c r="O80" i="6" s="1"/>
  <c r="G80" i="6"/>
  <c r="H80" i="6" s="1"/>
  <c r="I80" i="6" s="1"/>
  <c r="Y79" i="6"/>
  <c r="X79" i="6"/>
  <c r="W79" i="6"/>
  <c r="G79" i="6"/>
  <c r="H79" i="6" s="1"/>
  <c r="Y78" i="6"/>
  <c r="X78" i="6"/>
  <c r="W78" i="6"/>
  <c r="O78" i="6"/>
  <c r="I78" i="6"/>
  <c r="G78" i="6"/>
  <c r="H78" i="6" s="1"/>
  <c r="M78" i="6" s="1"/>
  <c r="Y77" i="6"/>
  <c r="X77" i="6"/>
  <c r="W77" i="6"/>
  <c r="M77" i="6"/>
  <c r="O77" i="6" s="1"/>
  <c r="I77" i="6"/>
  <c r="H77" i="6"/>
  <c r="G77" i="6"/>
  <c r="Y76" i="6"/>
  <c r="X76" i="6"/>
  <c r="W76" i="6"/>
  <c r="H76" i="6"/>
  <c r="G76" i="6"/>
  <c r="Y75" i="6"/>
  <c r="X75" i="6"/>
  <c r="W75" i="6"/>
  <c r="G75" i="6"/>
  <c r="H75" i="6" s="1"/>
  <c r="Y74" i="6"/>
  <c r="X74" i="6"/>
  <c r="W74" i="6"/>
  <c r="G74" i="6"/>
  <c r="H74" i="6" s="1"/>
  <c r="Y73" i="6"/>
  <c r="X73" i="6"/>
  <c r="W73" i="6"/>
  <c r="H73" i="6"/>
  <c r="G73" i="6"/>
  <c r="Y72" i="6"/>
  <c r="X72" i="6"/>
  <c r="W72" i="6"/>
  <c r="M72" i="6"/>
  <c r="O72" i="6" s="1"/>
  <c r="G72" i="6"/>
  <c r="H72" i="6" s="1"/>
  <c r="I72" i="6" s="1"/>
  <c r="Y71" i="6"/>
  <c r="X71" i="6"/>
  <c r="W71" i="6"/>
  <c r="G71" i="6"/>
  <c r="H71" i="6" s="1"/>
  <c r="Y70" i="6"/>
  <c r="X70" i="6"/>
  <c r="W70" i="6"/>
  <c r="O70" i="6"/>
  <c r="I70" i="6"/>
  <c r="G70" i="6"/>
  <c r="H70" i="6" s="1"/>
  <c r="M70" i="6" s="1"/>
  <c r="Y69" i="6"/>
  <c r="X69" i="6"/>
  <c r="W69" i="6"/>
  <c r="M69" i="6"/>
  <c r="O69" i="6" s="1"/>
  <c r="I69" i="6"/>
  <c r="H69" i="6"/>
  <c r="G69" i="6"/>
  <c r="Y68" i="6"/>
  <c r="X68" i="6"/>
  <c r="W68" i="6"/>
  <c r="H68" i="6"/>
  <c r="G68" i="6"/>
  <c r="Y67" i="6"/>
  <c r="X67" i="6"/>
  <c r="W67" i="6"/>
  <c r="G67" i="6"/>
  <c r="H67" i="6" s="1"/>
  <c r="Y66" i="6"/>
  <c r="X66" i="6"/>
  <c r="W66" i="6"/>
  <c r="G66" i="6"/>
  <c r="H66" i="6" s="1"/>
  <c r="Y65" i="6"/>
  <c r="X65" i="6"/>
  <c r="W65" i="6"/>
  <c r="H65" i="6"/>
  <c r="G65" i="6"/>
  <c r="Y64" i="6"/>
  <c r="X64" i="6"/>
  <c r="W64" i="6"/>
  <c r="M64" i="6"/>
  <c r="O64" i="6" s="1"/>
  <c r="G64" i="6"/>
  <c r="H64" i="6" s="1"/>
  <c r="I64" i="6" s="1"/>
  <c r="Y63" i="6"/>
  <c r="X63" i="6"/>
  <c r="W63" i="6"/>
  <c r="G63" i="6"/>
  <c r="H63" i="6" s="1"/>
  <c r="Y62" i="6"/>
  <c r="X62" i="6"/>
  <c r="W62" i="6"/>
  <c r="O62" i="6"/>
  <c r="I62" i="6"/>
  <c r="G62" i="6"/>
  <c r="H62" i="6" s="1"/>
  <c r="M62" i="6" s="1"/>
  <c r="Y61" i="6"/>
  <c r="X61" i="6"/>
  <c r="W61" i="6"/>
  <c r="M61" i="6"/>
  <c r="O61" i="6" s="1"/>
  <c r="I61" i="6"/>
  <c r="H61" i="6"/>
  <c r="G61" i="6"/>
  <c r="Y60" i="6"/>
  <c r="X60" i="6"/>
  <c r="W60" i="6"/>
  <c r="H60" i="6"/>
  <c r="G60" i="6"/>
  <c r="Y59" i="6"/>
  <c r="X59" i="6"/>
  <c r="W59" i="6"/>
  <c r="G59" i="6"/>
  <c r="H59" i="6" s="1"/>
  <c r="Y58" i="6"/>
  <c r="X58" i="6"/>
  <c r="W58" i="6"/>
  <c r="G58" i="6"/>
  <c r="H58" i="6" s="1"/>
  <c r="Y57" i="6"/>
  <c r="X57" i="6"/>
  <c r="W57" i="6"/>
  <c r="H57" i="6"/>
  <c r="G57" i="6"/>
  <c r="Y56" i="6"/>
  <c r="X56" i="6"/>
  <c r="W56" i="6"/>
  <c r="M56" i="6"/>
  <c r="O56" i="6" s="1"/>
  <c r="G56" i="6"/>
  <c r="H56" i="6" s="1"/>
  <c r="I56" i="6" s="1"/>
  <c r="Y55" i="6"/>
  <c r="X55" i="6"/>
  <c r="W55" i="6"/>
  <c r="G55" i="6"/>
  <c r="H55" i="6" s="1"/>
  <c r="Y54" i="6"/>
  <c r="X54" i="6"/>
  <c r="W54" i="6"/>
  <c r="O54" i="6"/>
  <c r="I54" i="6"/>
  <c r="G54" i="6"/>
  <c r="H54" i="6" s="1"/>
  <c r="M54" i="6" s="1"/>
  <c r="Y53" i="6"/>
  <c r="X53" i="6"/>
  <c r="W53" i="6"/>
  <c r="M53" i="6"/>
  <c r="O53" i="6" s="1"/>
  <c r="I53" i="6"/>
  <c r="H53" i="6"/>
  <c r="G53" i="6"/>
  <c r="Y52" i="6"/>
  <c r="X52" i="6"/>
  <c r="W52" i="6"/>
  <c r="H52" i="6"/>
  <c r="G52" i="6"/>
  <c r="Y51" i="6"/>
  <c r="X51" i="6"/>
  <c r="W51" i="6"/>
  <c r="G51" i="6"/>
  <c r="H51" i="6" s="1"/>
  <c r="Y50" i="6"/>
  <c r="X50" i="6"/>
  <c r="W50" i="6"/>
  <c r="G50" i="6"/>
  <c r="H50" i="6" s="1"/>
  <c r="Y49" i="6"/>
  <c r="X49" i="6"/>
  <c r="W49" i="6"/>
  <c r="H49" i="6"/>
  <c r="G49" i="6"/>
  <c r="Y48" i="6"/>
  <c r="X48" i="6"/>
  <c r="W48" i="6"/>
  <c r="M48" i="6"/>
  <c r="O48" i="6" s="1"/>
  <c r="G48" i="6"/>
  <c r="H48" i="6" s="1"/>
  <c r="I48" i="6" s="1"/>
  <c r="Y47" i="6"/>
  <c r="X47" i="6"/>
  <c r="W47" i="6"/>
  <c r="G47" i="6"/>
  <c r="H47" i="6" s="1"/>
  <c r="Y46" i="6"/>
  <c r="X46" i="6"/>
  <c r="W46" i="6"/>
  <c r="O46" i="6"/>
  <c r="I46" i="6"/>
  <c r="G46" i="6"/>
  <c r="H46" i="6" s="1"/>
  <c r="M46" i="6" s="1"/>
  <c r="Y45" i="6"/>
  <c r="X45" i="6"/>
  <c r="W45" i="6"/>
  <c r="M45" i="6"/>
  <c r="O45" i="6" s="1"/>
  <c r="I45" i="6"/>
  <c r="H45" i="6"/>
  <c r="G45" i="6"/>
  <c r="Y44" i="6"/>
  <c r="X44" i="6"/>
  <c r="W44" i="6"/>
  <c r="G44" i="6"/>
  <c r="H44" i="6" s="1"/>
  <c r="Y43" i="6"/>
  <c r="X43" i="6"/>
  <c r="W43" i="6"/>
  <c r="G43" i="6"/>
  <c r="H43" i="6" s="1"/>
  <c r="Y42" i="6"/>
  <c r="X42" i="6"/>
  <c r="W42" i="6"/>
  <c r="H42" i="6"/>
  <c r="G42" i="6"/>
  <c r="Y41" i="6"/>
  <c r="X41" i="6"/>
  <c r="W41" i="6"/>
  <c r="G41" i="6"/>
  <c r="H41" i="6" s="1"/>
  <c r="Y40" i="6"/>
  <c r="X40" i="6"/>
  <c r="W40" i="6"/>
  <c r="K40" i="6"/>
  <c r="G40" i="6"/>
  <c r="H40" i="6" s="1"/>
  <c r="Y39" i="6"/>
  <c r="X39" i="6"/>
  <c r="W39" i="6"/>
  <c r="O39" i="6"/>
  <c r="I39" i="6"/>
  <c r="G39" i="6"/>
  <c r="H39" i="6" s="1"/>
  <c r="M39" i="6" s="1"/>
  <c r="Y38" i="6"/>
  <c r="X38" i="6"/>
  <c r="W38" i="6"/>
  <c r="M38" i="6"/>
  <c r="O38" i="6" s="1"/>
  <c r="I38" i="6"/>
  <c r="H38" i="6"/>
  <c r="G38" i="6"/>
  <c r="Y37" i="6"/>
  <c r="X37" i="6"/>
  <c r="W37" i="6"/>
  <c r="M37" i="6"/>
  <c r="O37" i="6" s="1"/>
  <c r="K37" i="6"/>
  <c r="H37" i="6"/>
  <c r="I37" i="6" s="1"/>
  <c r="G37" i="6"/>
  <c r="Y36" i="6"/>
  <c r="X36" i="6"/>
  <c r="W36" i="6"/>
  <c r="G36" i="6"/>
  <c r="H36" i="6" s="1"/>
  <c r="Y35" i="6"/>
  <c r="X35" i="6"/>
  <c r="W35" i="6"/>
  <c r="G35" i="6"/>
  <c r="H35" i="6" s="1"/>
  <c r="Y34" i="6"/>
  <c r="X34" i="6"/>
  <c r="W34" i="6"/>
  <c r="H34" i="6"/>
  <c r="G34" i="6"/>
  <c r="Y33" i="6"/>
  <c r="X33" i="6"/>
  <c r="W33" i="6"/>
  <c r="G33" i="6"/>
  <c r="H33" i="6" s="1"/>
  <c r="Y32" i="6"/>
  <c r="X32" i="6"/>
  <c r="W32" i="6"/>
  <c r="K32" i="6"/>
  <c r="G32" i="6"/>
  <c r="H32" i="6" s="1"/>
  <c r="Y31" i="6"/>
  <c r="X31" i="6"/>
  <c r="W31" i="6"/>
  <c r="O31" i="6"/>
  <c r="I31" i="6"/>
  <c r="G31" i="6"/>
  <c r="H31" i="6" s="1"/>
  <c r="M31" i="6" s="1"/>
  <c r="Y30" i="6"/>
  <c r="X30" i="6"/>
  <c r="W30" i="6"/>
  <c r="M30" i="6"/>
  <c r="O30" i="6" s="1"/>
  <c r="I30" i="6"/>
  <c r="H30" i="6"/>
  <c r="G30" i="6"/>
  <c r="Y29" i="6"/>
  <c r="X29" i="6"/>
  <c r="W29" i="6"/>
  <c r="M29" i="6"/>
  <c r="O29" i="6" s="1"/>
  <c r="K29" i="6"/>
  <c r="H29" i="6"/>
  <c r="I29" i="6" s="1"/>
  <c r="G29" i="6"/>
  <c r="Y28" i="6"/>
  <c r="X28" i="6"/>
  <c r="W28" i="6"/>
  <c r="G28" i="6"/>
  <c r="H28" i="6" s="1"/>
  <c r="Y27" i="6"/>
  <c r="X27" i="6"/>
  <c r="W27" i="6"/>
  <c r="G27" i="6"/>
  <c r="H27" i="6" s="1"/>
  <c r="Y26" i="6"/>
  <c r="X26" i="6"/>
  <c r="W26" i="6"/>
  <c r="H26" i="6"/>
  <c r="G26" i="6"/>
  <c r="Y25" i="6"/>
  <c r="X25" i="6"/>
  <c r="W25" i="6"/>
  <c r="G25" i="6"/>
  <c r="H25" i="6" s="1"/>
  <c r="Y24" i="6"/>
  <c r="X24" i="6"/>
  <c r="W24" i="6"/>
  <c r="K24" i="6"/>
  <c r="G24" i="6"/>
  <c r="H24" i="6" s="1"/>
  <c r="Y23" i="6"/>
  <c r="X23" i="6"/>
  <c r="W23" i="6"/>
  <c r="O23" i="6"/>
  <c r="J23" i="6"/>
  <c r="I23" i="6"/>
  <c r="G23" i="6"/>
  <c r="H23" i="6" s="1"/>
  <c r="M23" i="6" s="1"/>
  <c r="Y22" i="6"/>
  <c r="X22" i="6"/>
  <c r="W22" i="6"/>
  <c r="M22" i="6"/>
  <c r="O22" i="6" s="1"/>
  <c r="I22" i="6"/>
  <c r="H22" i="6"/>
  <c r="G22" i="6"/>
  <c r="Y21" i="6"/>
  <c r="X21" i="6"/>
  <c r="W21" i="6"/>
  <c r="M21" i="6"/>
  <c r="O21" i="6" s="1"/>
  <c r="K21" i="6"/>
  <c r="H21" i="6"/>
  <c r="I21" i="6" s="1"/>
  <c r="G21" i="6"/>
  <c r="Y20" i="6"/>
  <c r="X20" i="6"/>
  <c r="W20" i="6"/>
  <c r="G20" i="6"/>
  <c r="H20" i="6" s="1"/>
  <c r="Y19" i="6"/>
  <c r="X19" i="6"/>
  <c r="W19" i="6"/>
  <c r="G19" i="6"/>
  <c r="H19" i="6" s="1"/>
  <c r="Y18" i="6"/>
  <c r="X18" i="6"/>
  <c r="W18" i="6"/>
  <c r="H18" i="6"/>
  <c r="G18" i="6"/>
  <c r="Y17" i="6"/>
  <c r="X17" i="6"/>
  <c r="W17" i="6"/>
  <c r="G17" i="6"/>
  <c r="H17" i="6" s="1"/>
  <c r="Y16" i="6"/>
  <c r="X16" i="6"/>
  <c r="W16" i="6"/>
  <c r="K16" i="6"/>
  <c r="G16" i="6"/>
  <c r="H16" i="6" s="1"/>
  <c r="Y15" i="6"/>
  <c r="X15" i="6"/>
  <c r="W15" i="6"/>
  <c r="O15" i="6"/>
  <c r="I15" i="6"/>
  <c r="G15" i="6"/>
  <c r="H15" i="6" s="1"/>
  <c r="M15" i="6" s="1"/>
  <c r="Y14" i="6"/>
  <c r="X14" i="6"/>
  <c r="W14" i="6"/>
  <c r="O14" i="6"/>
  <c r="M14" i="6"/>
  <c r="I14" i="6"/>
  <c r="H14" i="6"/>
  <c r="G14" i="6"/>
  <c r="Y13" i="6"/>
  <c r="X13" i="6"/>
  <c r="W13" i="6"/>
  <c r="M13" i="6"/>
  <c r="O13" i="6" s="1"/>
  <c r="K13" i="6"/>
  <c r="H13" i="6"/>
  <c r="I13" i="6" s="1"/>
  <c r="G13" i="6"/>
  <c r="Y12" i="6"/>
  <c r="X12" i="6"/>
  <c r="W12" i="6"/>
  <c r="J12" i="6"/>
  <c r="G12" i="6"/>
  <c r="H12" i="6" s="1"/>
  <c r="Y11" i="6"/>
  <c r="X11" i="6"/>
  <c r="W11" i="6"/>
  <c r="K11" i="6"/>
  <c r="G11" i="6"/>
  <c r="H11" i="6" s="1"/>
  <c r="Y10" i="6"/>
  <c r="X10" i="6"/>
  <c r="W10" i="6"/>
  <c r="J10" i="6"/>
  <c r="G10" i="6"/>
  <c r="Y9" i="6"/>
  <c r="X9" i="6"/>
  <c r="W9" i="6"/>
  <c r="K9" i="6"/>
  <c r="G9" i="6"/>
  <c r="M8" i="6"/>
  <c r="K8" i="6"/>
  <c r="I8" i="6"/>
  <c r="H8" i="6"/>
  <c r="G8" i="6"/>
  <c r="K7" i="6"/>
  <c r="J7" i="6"/>
  <c r="D7" i="6"/>
  <c r="B6" i="6"/>
  <c r="M5" i="6"/>
  <c r="S4" i="6"/>
  <c r="R4" i="6"/>
  <c r="T3" i="6"/>
  <c r="T2" i="6"/>
  <c r="P2" i="6"/>
  <c r="I17" i="6" l="1"/>
  <c r="M17" i="6"/>
  <c r="O17" i="6" s="1"/>
  <c r="M12" i="6"/>
  <c r="O12" i="6" s="1"/>
  <c r="I12" i="6"/>
  <c r="M18" i="6"/>
  <c r="O18" i="6" s="1"/>
  <c r="I18" i="6"/>
  <c r="M20" i="6"/>
  <c r="O20" i="6" s="1"/>
  <c r="I20" i="6"/>
  <c r="I41" i="6"/>
  <c r="M41" i="6"/>
  <c r="O41" i="6" s="1"/>
  <c r="M51" i="6"/>
  <c r="O51" i="6" s="1"/>
  <c r="I51" i="6"/>
  <c r="I57" i="6"/>
  <c r="M57" i="6"/>
  <c r="O57" i="6" s="1"/>
  <c r="I65" i="6"/>
  <c r="M65" i="6"/>
  <c r="O65" i="6" s="1"/>
  <c r="M67" i="6"/>
  <c r="O67" i="6" s="1"/>
  <c r="I67" i="6"/>
  <c r="I73" i="6"/>
  <c r="M73" i="6"/>
  <c r="O73" i="6" s="1"/>
  <c r="I33" i="6"/>
  <c r="M33" i="6"/>
  <c r="O33" i="6" s="1"/>
  <c r="M42" i="6"/>
  <c r="O42" i="6" s="1"/>
  <c r="I42" i="6"/>
  <c r="M43" i="6"/>
  <c r="O43" i="6" s="1"/>
  <c r="I43" i="6"/>
  <c r="J144" i="6"/>
  <c r="J140" i="6"/>
  <c r="J136" i="6"/>
  <c r="J81" i="6"/>
  <c r="J77" i="6"/>
  <c r="J73" i="6"/>
  <c r="J69" i="6"/>
  <c r="J65" i="6"/>
  <c r="J61" i="6"/>
  <c r="J57" i="6"/>
  <c r="J53" i="6"/>
  <c r="J49" i="6"/>
  <c r="J45" i="6"/>
  <c r="J145" i="6"/>
  <c r="J141" i="6"/>
  <c r="J135" i="6"/>
  <c r="J80" i="6"/>
  <c r="J76" i="6"/>
  <c r="J72" i="6"/>
  <c r="J68" i="6"/>
  <c r="J64" i="6"/>
  <c r="J60" i="6"/>
  <c r="J56" i="6"/>
  <c r="J52" i="6"/>
  <c r="J48" i="6"/>
  <c r="J143" i="6"/>
  <c r="J83" i="6"/>
  <c r="J75" i="6"/>
  <c r="J67" i="6"/>
  <c r="J59" i="6"/>
  <c r="J51" i="6"/>
  <c r="J42" i="6"/>
  <c r="J38" i="6"/>
  <c r="J34" i="6"/>
  <c r="J30" i="6"/>
  <c r="J26" i="6"/>
  <c r="J22" i="6"/>
  <c r="J18" i="6"/>
  <c r="J14" i="6"/>
  <c r="J142" i="6"/>
  <c r="J82" i="6"/>
  <c r="J74" i="6"/>
  <c r="J66" i="6"/>
  <c r="J58" i="6"/>
  <c r="J50" i="6"/>
  <c r="J41" i="6"/>
  <c r="J37" i="6"/>
  <c r="J33" i="6"/>
  <c r="J29" i="6"/>
  <c r="J25" i="6"/>
  <c r="J21" i="6"/>
  <c r="J17" i="6"/>
  <c r="J13" i="6"/>
  <c r="J146" i="6"/>
  <c r="J78" i="6"/>
  <c r="J70" i="6"/>
  <c r="J62" i="6"/>
  <c r="J54" i="6"/>
  <c r="J46" i="6"/>
  <c r="J40" i="6"/>
  <c r="J32" i="6"/>
  <c r="J24" i="6"/>
  <c r="J16" i="6"/>
  <c r="J139" i="6"/>
  <c r="J43" i="6"/>
  <c r="J35" i="6"/>
  <c r="J27" i="6"/>
  <c r="J19" i="6"/>
  <c r="J9" i="6"/>
  <c r="H9" i="6" s="1"/>
  <c r="J8" i="6"/>
  <c r="J138" i="6"/>
  <c r="J79" i="6"/>
  <c r="J71" i="6"/>
  <c r="J63" i="6"/>
  <c r="J55" i="6"/>
  <c r="J47" i="6"/>
  <c r="J44" i="6"/>
  <c r="J36" i="6"/>
  <c r="J28" i="6"/>
  <c r="J20" i="6"/>
  <c r="G7" i="6"/>
  <c r="G105" i="6" s="1"/>
  <c r="C109" i="6" s="1"/>
  <c r="W109" i="6" s="1"/>
  <c r="I11" i="6"/>
  <c r="M11" i="6"/>
  <c r="O11" i="6" s="1"/>
  <c r="I25" i="6"/>
  <c r="M25" i="6"/>
  <c r="O25" i="6" s="1"/>
  <c r="M34" i="6"/>
  <c r="O34" i="6" s="1"/>
  <c r="I34" i="6"/>
  <c r="M36" i="6"/>
  <c r="O36" i="6" s="1"/>
  <c r="I36" i="6"/>
  <c r="J39" i="6"/>
  <c r="O8" i="6"/>
  <c r="J11" i="6"/>
  <c r="J15" i="6"/>
  <c r="M26" i="6"/>
  <c r="O26" i="6" s="1"/>
  <c r="I26" i="6"/>
  <c r="M27" i="6"/>
  <c r="O27" i="6" s="1"/>
  <c r="I27" i="6"/>
  <c r="M28" i="6"/>
  <c r="O28" i="6" s="1"/>
  <c r="I28" i="6"/>
  <c r="J31" i="6"/>
  <c r="M19" i="6"/>
  <c r="O19" i="6" s="1"/>
  <c r="I19" i="6"/>
  <c r="I49" i="6"/>
  <c r="M49" i="6"/>
  <c r="O49" i="6" s="1"/>
  <c r="M59" i="6"/>
  <c r="O59" i="6" s="1"/>
  <c r="I59" i="6"/>
  <c r="M75" i="6"/>
  <c r="O75" i="6" s="1"/>
  <c r="I75" i="6"/>
  <c r="I81" i="6"/>
  <c r="M81" i="6"/>
  <c r="O81" i="6" s="1"/>
  <c r="M83" i="6"/>
  <c r="O83" i="6" s="1"/>
  <c r="I83" i="6"/>
  <c r="M44" i="6"/>
  <c r="O44" i="6" s="1"/>
  <c r="I44" i="6"/>
  <c r="M35" i="6"/>
  <c r="O35" i="6" s="1"/>
  <c r="I35" i="6"/>
  <c r="I52" i="6"/>
  <c r="M52" i="6"/>
  <c r="O52" i="6" s="1"/>
  <c r="I60" i="6"/>
  <c r="M60" i="6"/>
  <c r="O60" i="6" s="1"/>
  <c r="I68" i="6"/>
  <c r="M68" i="6"/>
  <c r="O68" i="6" s="1"/>
  <c r="I76" i="6"/>
  <c r="M76" i="6"/>
  <c r="O76" i="6" s="1"/>
  <c r="E144" i="6"/>
  <c r="K143" i="6"/>
  <c r="K139" i="6"/>
  <c r="E139" i="6" s="1"/>
  <c r="K137" i="6"/>
  <c r="K82" i="6"/>
  <c r="K78" i="6"/>
  <c r="K74" i="6"/>
  <c r="K70" i="6"/>
  <c r="K66" i="6"/>
  <c r="K62" i="6"/>
  <c r="K58" i="6"/>
  <c r="K54" i="6"/>
  <c r="K50" i="6"/>
  <c r="K46" i="6"/>
  <c r="K144" i="6"/>
  <c r="K140" i="6"/>
  <c r="E140" i="6" s="1"/>
  <c r="K136" i="6"/>
  <c r="K81" i="6"/>
  <c r="K77" i="6"/>
  <c r="K73" i="6"/>
  <c r="K69" i="6"/>
  <c r="K65" i="6"/>
  <c r="K61" i="6"/>
  <c r="K57" i="6"/>
  <c r="K53" i="6"/>
  <c r="K49" i="6"/>
  <c r="K45" i="6"/>
  <c r="K146" i="6"/>
  <c r="K138" i="6"/>
  <c r="K43" i="6"/>
  <c r="K39" i="6"/>
  <c r="K35" i="6"/>
  <c r="K31" i="6"/>
  <c r="K27" i="6"/>
  <c r="K23" i="6"/>
  <c r="K19" i="6"/>
  <c r="K15" i="6"/>
  <c r="K145" i="6"/>
  <c r="K83" i="6"/>
  <c r="K80" i="6"/>
  <c r="K75" i="6"/>
  <c r="K72" i="6"/>
  <c r="K67" i="6"/>
  <c r="K64" i="6"/>
  <c r="K59" i="6"/>
  <c r="K56" i="6"/>
  <c r="K51" i="6"/>
  <c r="K48" i="6"/>
  <c r="K42" i="6"/>
  <c r="K38" i="6"/>
  <c r="K34" i="6"/>
  <c r="K30" i="6"/>
  <c r="K26" i="6"/>
  <c r="K22" i="6"/>
  <c r="K18" i="6"/>
  <c r="K14" i="6"/>
  <c r="K10" i="6"/>
  <c r="H10" i="6" s="1"/>
  <c r="K12" i="6"/>
  <c r="M16" i="6"/>
  <c r="O16" i="6" s="1"/>
  <c r="I16" i="6"/>
  <c r="K17" i="6"/>
  <c r="K20" i="6"/>
  <c r="M24" i="6"/>
  <c r="O24" i="6" s="1"/>
  <c r="I24" i="6"/>
  <c r="K25" i="6"/>
  <c r="K28" i="6"/>
  <c r="M32" i="6"/>
  <c r="O32" i="6" s="1"/>
  <c r="I32" i="6"/>
  <c r="K33" i="6"/>
  <c r="K36" i="6"/>
  <c r="M40" i="6"/>
  <c r="O40" i="6" s="1"/>
  <c r="I40" i="6"/>
  <c r="K41" i="6"/>
  <c r="K44" i="6"/>
  <c r="K47" i="6"/>
  <c r="M50" i="6"/>
  <c r="O50" i="6" s="1"/>
  <c r="I50" i="6"/>
  <c r="K52" i="6"/>
  <c r="K55" i="6"/>
  <c r="M58" i="6"/>
  <c r="O58" i="6" s="1"/>
  <c r="I58" i="6"/>
  <c r="K60" i="6"/>
  <c r="K63" i="6"/>
  <c r="M66" i="6"/>
  <c r="O66" i="6" s="1"/>
  <c r="I66" i="6"/>
  <c r="K68" i="6"/>
  <c r="K71" i="6"/>
  <c r="M74" i="6"/>
  <c r="O74" i="6" s="1"/>
  <c r="I74" i="6"/>
  <c r="K76" i="6"/>
  <c r="K79" i="6"/>
  <c r="M82" i="6"/>
  <c r="O82" i="6" s="1"/>
  <c r="I82" i="6"/>
  <c r="K135" i="6"/>
  <c r="K142" i="6"/>
  <c r="F145" i="6"/>
  <c r="E145" i="6"/>
  <c r="M47" i="6"/>
  <c r="O47" i="6" s="1"/>
  <c r="I47" i="6"/>
  <c r="M55" i="6"/>
  <c r="O55" i="6" s="1"/>
  <c r="I55" i="6"/>
  <c r="M63" i="6"/>
  <c r="O63" i="6" s="1"/>
  <c r="I63" i="6"/>
  <c r="M71" i="6"/>
  <c r="O71" i="6" s="1"/>
  <c r="I71" i="6"/>
  <c r="M79" i="6"/>
  <c r="O79" i="6" s="1"/>
  <c r="I79" i="6"/>
  <c r="L136" i="6"/>
  <c r="L146" i="6"/>
  <c r="L142" i="6"/>
  <c r="L138" i="6"/>
  <c r="L143" i="6"/>
  <c r="L139" i="6"/>
  <c r="D139" i="6" s="1"/>
  <c r="L137" i="6"/>
  <c r="L141" i="6"/>
  <c r="M10" i="6" l="1"/>
  <c r="O10" i="6" s="1"/>
  <c r="I10" i="6"/>
  <c r="H7" i="6"/>
  <c r="E142" i="6"/>
  <c r="F142" i="6"/>
  <c r="E143" i="6"/>
  <c r="F143" i="6"/>
  <c r="F141" i="6"/>
  <c r="E141" i="6"/>
  <c r="E146" i="6"/>
  <c r="F146" i="6"/>
  <c r="I9" i="6"/>
  <c r="I7" i="6" s="1"/>
  <c r="M9" i="6"/>
  <c r="O9" i="6" l="1"/>
  <c r="O7" i="6" s="1"/>
  <c r="N7" i="6" s="1"/>
  <c r="M7" i="6"/>
  <c r="F7" i="6" s="1"/>
  <c r="B81" i="6"/>
  <c r="B77" i="6"/>
  <c r="B73" i="6"/>
  <c r="B69" i="6"/>
  <c r="B65" i="6"/>
  <c r="B61" i="6"/>
  <c r="B57" i="6"/>
  <c r="B53" i="6"/>
  <c r="B49" i="6"/>
  <c r="B45" i="6"/>
  <c r="B80" i="6"/>
  <c r="B76" i="6"/>
  <c r="B72" i="6"/>
  <c r="B68" i="6"/>
  <c r="B64" i="6"/>
  <c r="B60" i="6"/>
  <c r="B56" i="6"/>
  <c r="B52" i="6"/>
  <c r="B48" i="6"/>
  <c r="B79" i="6"/>
  <c r="B78" i="6"/>
  <c r="B71" i="6"/>
  <c r="B70" i="6"/>
  <c r="B63" i="6"/>
  <c r="B62" i="6"/>
  <c r="B55" i="6"/>
  <c r="B54" i="6"/>
  <c r="B47" i="6"/>
  <c r="B46" i="6"/>
  <c r="B42" i="6"/>
  <c r="B38" i="6"/>
  <c r="B34" i="6"/>
  <c r="B30" i="6"/>
  <c r="B26" i="6"/>
  <c r="B22" i="6"/>
  <c r="B18" i="6"/>
  <c r="B14" i="6"/>
  <c r="B41" i="6"/>
  <c r="B37" i="6"/>
  <c r="B33" i="6"/>
  <c r="B29" i="6"/>
  <c r="B25" i="6"/>
  <c r="B21" i="6"/>
  <c r="B17" i="6"/>
  <c r="B13" i="6"/>
  <c r="B75" i="6"/>
  <c r="B67" i="6"/>
  <c r="B59" i="6"/>
  <c r="B51" i="6"/>
  <c r="B44" i="6"/>
  <c r="B43" i="6"/>
  <c r="B36" i="6"/>
  <c r="B35" i="6"/>
  <c r="B28" i="6"/>
  <c r="B27" i="6"/>
  <c r="B20" i="6"/>
  <c r="B19" i="6"/>
  <c r="B12" i="6"/>
  <c r="B9" i="6"/>
  <c r="B8" i="6"/>
  <c r="B82" i="6"/>
  <c r="B74" i="6"/>
  <c r="B66" i="6"/>
  <c r="B58" i="6"/>
  <c r="B50" i="6"/>
  <c r="B40" i="6"/>
  <c r="B39" i="6"/>
  <c r="B32" i="6"/>
  <c r="B31" i="6"/>
  <c r="B24" i="6"/>
  <c r="B23" i="6"/>
  <c r="B11" i="6"/>
  <c r="B10" i="6"/>
  <c r="B16" i="6"/>
  <c r="B15" i="6"/>
  <c r="B83" i="6" l="1"/>
  <c r="E24" i="44" l="1"/>
  <c r="AK33" i="61" l="1"/>
  <c r="AJ33" i="61" s="1"/>
  <c r="U31" i="61"/>
  <c r="W31" i="61" l="1"/>
  <c r="W55" i="61" s="1"/>
  <c r="U55" i="61"/>
  <c r="X31" i="61"/>
  <c r="AG31" i="61"/>
  <c r="AA31" i="61"/>
  <c r="AN33" i="61"/>
  <c r="AO33" i="61" s="1"/>
  <c r="X33" i="61"/>
  <c r="AG33" i="61"/>
  <c r="D33" i="61" s="1"/>
  <c r="AK31" i="61" l="1"/>
  <c r="Y28" i="61"/>
  <c r="X26" i="61"/>
  <c r="AA22" i="61"/>
  <c r="AA30" i="61"/>
  <c r="AA40" i="61"/>
  <c r="AA51" i="61"/>
  <c r="AA35" i="61"/>
  <c r="Y30" i="61"/>
  <c r="X42" i="61"/>
  <c r="X45" i="61"/>
  <c r="AA46" i="61"/>
  <c r="AA52" i="61"/>
  <c r="AA39" i="61"/>
  <c r="AA41" i="61"/>
  <c r="X43" i="61"/>
  <c r="X25" i="61"/>
  <c r="AA25" i="61"/>
  <c r="X38" i="61"/>
  <c r="X44" i="61"/>
  <c r="X48" i="61"/>
  <c r="X35" i="61"/>
  <c r="AA29" i="61"/>
  <c r="Y26" i="61"/>
  <c r="Y29" i="61"/>
  <c r="X39" i="61"/>
  <c r="X46" i="61"/>
  <c r="X50" i="61"/>
  <c r="X47" i="61"/>
  <c r="AA54" i="61"/>
  <c r="AA38" i="61"/>
  <c r="X28" i="61"/>
  <c r="AA44" i="61"/>
  <c r="X40" i="61"/>
  <c r="X27" i="61"/>
  <c r="AA49" i="61"/>
  <c r="AA26" i="61"/>
  <c r="W21" i="61"/>
  <c r="P20" i="61" s="1"/>
  <c r="AA43" i="61"/>
  <c r="Y25" i="61"/>
  <c r="X49" i="61"/>
  <c r="AA50" i="61"/>
  <c r="X37" i="61"/>
  <c r="X32" i="61"/>
  <c r="AA23" i="61"/>
  <c r="X23" i="61"/>
  <c r="AA45" i="61"/>
  <c r="Y24" i="61"/>
  <c r="X22" i="61"/>
  <c r="X30" i="61"/>
  <c r="X54" i="61"/>
  <c r="Y23" i="61"/>
  <c r="Y56" i="61" s="1"/>
  <c r="X52" i="61"/>
  <c r="AA28" i="61"/>
  <c r="AA24" i="61"/>
  <c r="X41" i="61"/>
  <c r="AA37" i="61"/>
  <c r="AA27" i="61"/>
  <c r="Y27" i="61"/>
  <c r="AA47" i="61"/>
  <c r="X29" i="61"/>
  <c r="AA42" i="61"/>
  <c r="AA48" i="61"/>
  <c r="X51" i="61"/>
  <c r="X53" i="61"/>
  <c r="AA53" i="61"/>
  <c r="X24" i="61"/>
  <c r="H22" i="61"/>
  <c r="X34" i="61"/>
  <c r="X36" i="61"/>
  <c r="AA34" i="61"/>
  <c r="AA36" i="61"/>
  <c r="AA33" i="61"/>
  <c r="D31" i="61"/>
  <c r="D56" i="61" s="1"/>
  <c r="AG56" i="61"/>
  <c r="AG17" i="61" s="1"/>
  <c r="AJ31" i="61"/>
  <c r="AJ56" i="61" s="1"/>
  <c r="AJ17" i="61" s="1"/>
  <c r="AN31" i="61"/>
  <c r="AK56" i="61"/>
  <c r="AA55" i="61" l="1"/>
  <c r="F18" i="61"/>
  <c r="W106" i="61"/>
  <c r="X56" i="61"/>
  <c r="AK17" i="61"/>
  <c r="AM56" i="61"/>
  <c r="AL56" i="61" s="1"/>
  <c r="AN56" i="61"/>
  <c r="AN17" i="61" s="1"/>
  <c r="AO31" i="61"/>
  <c r="AO56" i="61" s="1"/>
  <c r="E56" i="61"/>
  <c r="D20" i="61"/>
  <c r="AP28" i="61" l="1"/>
  <c r="AP23" i="61"/>
  <c r="AP30" i="61"/>
  <c r="AP27" i="61"/>
  <c r="AP26" i="61"/>
  <c r="AP24" i="61"/>
  <c r="AQ56" i="61"/>
  <c r="AP56" i="61" s="1"/>
  <c r="AP25" i="61"/>
  <c r="AO17" i="61"/>
  <c r="AP29" i="61"/>
  <c r="H17" i="61"/>
  <c r="P17" i="61"/>
  <c r="W103" i="61" s="1"/>
</calcChain>
</file>

<file path=xl/sharedStrings.xml><?xml version="1.0" encoding="utf-8"?>
<sst xmlns="http://schemas.openxmlformats.org/spreadsheetml/2006/main" count="8368" uniqueCount="2574">
  <si>
    <t>Cuisson &gt;</t>
  </si>
  <si>
    <t>Préparation &gt;</t>
  </si>
  <si>
    <t>.</t>
  </si>
  <si>
    <t>si vous n'utilisez pas toutes les lignes vous pouvez masquer cette valeur par une couleur de police BLANC</t>
  </si>
  <si>
    <t xml:space="preserve">les valeurs #DIV/0!  indiquent seulement que les recettes sont "vierges" sur la feuille de saisie </t>
  </si>
  <si>
    <t>Lien internet</t>
  </si>
  <si>
    <t>❻</t>
  </si>
  <si>
    <t>Adresse PC</t>
  </si>
  <si>
    <t>Adaptation : Joël Leboucher..UPRT "Union des Personnels de la Restauration Territoriale"  membre du réseau RESTAU'CO</t>
  </si>
  <si>
    <t>http://www.cuisinealafrancaise.com/fr/2-poids-et-mesures</t>
  </si>
  <si>
    <t>0,125 kg</t>
  </si>
  <si>
    <t>1,25 dl</t>
  </si>
  <si>
    <t>12, 5 c</t>
  </si>
  <si>
    <t>1/8 litre</t>
  </si>
  <si>
    <t>&lt;   Total</t>
  </si>
  <si>
    <t>Lien</t>
  </si>
  <si>
    <t>Mise à jour</t>
  </si>
  <si>
    <t>0,250 kg</t>
  </si>
  <si>
    <t>2,5 dl</t>
  </si>
  <si>
    <t>25 cl</t>
  </si>
  <si>
    <t>1/4 litre</t>
  </si>
  <si>
    <t>%</t>
  </si>
  <si>
    <t>Total</t>
  </si>
  <si>
    <t>3 cl = 30g = 0.03kg    /    30 cl = 300g = 0.3kg     /     3 dl = 300g = 0.3 kg</t>
  </si>
  <si>
    <t>0,500 kg</t>
  </si>
  <si>
    <t>5 dl</t>
  </si>
  <si>
    <t>50 cl</t>
  </si>
  <si>
    <t>1/2 litre</t>
  </si>
  <si>
    <t xml:space="preserve">Aide mémoire sur la base eau : 1L = 1Kg - 1 gr = 0.001Kg  &gt; 2 zéros après la virgule du Kg </t>
  </si>
  <si>
    <t>1 kg</t>
  </si>
  <si>
    <t>10 dl</t>
  </si>
  <si>
    <t>100 cl</t>
  </si>
  <si>
    <t>1litre</t>
  </si>
  <si>
    <t>ml</t>
  </si>
  <si>
    <t>cl</t>
  </si>
  <si>
    <t>dl</t>
  </si>
  <si>
    <t>L</t>
  </si>
  <si>
    <t xml:space="preserve">Kilogrammes (kg.) </t>
  </si>
  <si>
    <t xml:space="preserve">Décilitres (dl.) </t>
  </si>
  <si>
    <t xml:space="preserve">Centilitres (cl.) </t>
  </si>
  <si>
    <t xml:space="preserve">Litres (l.) </t>
  </si>
  <si>
    <t>gr</t>
  </si>
  <si>
    <t>dag</t>
  </si>
  <si>
    <t>hg</t>
  </si>
  <si>
    <t>,</t>
  </si>
  <si>
    <t>Kg</t>
  </si>
  <si>
    <t xml:space="preserve">sur la base eau : 1L = 1Kg </t>
  </si>
  <si>
    <t>Net cuit</t>
  </si>
  <si>
    <t>Poids brut à mettre en œuvre</t>
  </si>
  <si>
    <t>Poids net</t>
  </si>
  <si>
    <t>%  de perte</t>
  </si>
  <si>
    <t xml:space="preserve"> Poids de perte</t>
  </si>
  <si>
    <t>%  de PERTE</t>
  </si>
  <si>
    <t>POIDS de PERTE</t>
  </si>
  <si>
    <t>POIDS NET</t>
  </si>
  <si>
    <t>POIDS BRUT</t>
  </si>
  <si>
    <t>Poids brut</t>
  </si>
  <si>
    <t>Pourcentages NET / BRUT et BRUT / NET</t>
  </si>
  <si>
    <t>Aide à la décision en Gr</t>
  </si>
  <si>
    <t>pommes</t>
  </si>
  <si>
    <t>Quoi</t>
  </si>
  <si>
    <t>Unités</t>
  </si>
  <si>
    <t>❹ Ingrédients  et quantités utilisées par l'Auteur</t>
  </si>
  <si>
    <t>Poids Unitaire</t>
  </si>
  <si>
    <t>Poids Auteur</t>
  </si>
  <si>
    <t>Ingrédients et quantités utilisées par l'Auteur</t>
  </si>
  <si>
    <t>Poids</t>
  </si>
  <si>
    <t>POIDS de la recette</t>
  </si>
  <si>
    <t>PHASES ESSENTIELLES  DE PROGRESSION</t>
  </si>
  <si>
    <t>Poids en Gr</t>
  </si>
  <si>
    <t>?</t>
  </si>
  <si>
    <t>❸ Constituant de quelle recette ?</t>
  </si>
  <si>
    <t>❷Auteur</t>
  </si>
  <si>
    <t>Auteur :</t>
  </si>
  <si>
    <t>N°1</t>
  </si>
  <si>
    <t>❶</t>
  </si>
  <si>
    <t>ICI</t>
  </si>
  <si>
    <t>NE PAS IMPRIMER CES COLONNES  Tableau réservé à la saisie</t>
  </si>
  <si>
    <t>100 g Noisette en poudre</t>
  </si>
  <si>
    <t>2 œufs</t>
  </si>
  <si>
    <t>œufs</t>
  </si>
  <si>
    <t>0.500 kg de pain sec (avec le moins de croute colorée possible)</t>
  </si>
  <si>
    <t>1. litre de lait</t>
  </si>
  <si>
    <t>poids de perte</t>
  </si>
  <si>
    <t>pour</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</si>
  <si>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</si>
  <si>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</si>
  <si>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</si>
  <si>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</si>
  <si>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Les unités pifométriques</t>
  </si>
  <si>
    <t>ATTENTION : les saisies des poids unitaires se font en gramme</t>
  </si>
  <si>
    <t>❹ ingrédients</t>
  </si>
  <si>
    <t>quelques numérotation pour les process</t>
  </si>
  <si>
    <t>pour 1.050Kg  saisissez 1050 la cellule est formatée pour ajouter g</t>
  </si>
  <si>
    <t>bœuf</t>
  </si>
  <si>
    <t>❷</t>
  </si>
  <si>
    <t>Vous pouvez coller ces formes dans vos fiches</t>
  </si>
  <si>
    <t>veau</t>
  </si>
  <si>
    <t>❸</t>
  </si>
  <si>
    <t>❹</t>
  </si>
  <si>
    <t>le poids UNITAIRE pour les RECETTES AU POIDS est indispensable</t>
  </si>
  <si>
    <t>❺</t>
  </si>
  <si>
    <t>(pas le poids des 2 œufs "100g" mais le poids d'UN œuf de 50g par exemple)</t>
  </si>
  <si>
    <t>❼</t>
  </si>
  <si>
    <t>❽</t>
  </si>
  <si>
    <t>Œufs de 50 g</t>
  </si>
  <si>
    <t>❾</t>
  </si>
  <si>
    <t xml:space="preserve">saisir QUOI pour les œufs n'est pas obligatoire </t>
  </si>
  <si>
    <t>❿</t>
  </si>
  <si>
    <t>mais pour une pincée d'épices…une cuillère à café….une brindille c'est indispensable</t>
  </si>
  <si>
    <t>⓫</t>
  </si>
  <si>
    <t>⓬</t>
  </si>
  <si>
    <t>Recettes à la PORTION</t>
  </si>
  <si>
    <t>⓭</t>
  </si>
  <si>
    <t>pour les recettes à la portion vous avez la possibilité de ne pas ajouter le poids unitaire de certains ingrédients</t>
  </si>
  <si>
    <t>⓮</t>
  </si>
  <si>
    <t xml:space="preserve">si vous saisissez 2 œufs c'est possible; mais pas dans la même colonne cela fausserait le poids total </t>
  </si>
  <si>
    <t>⓯</t>
  </si>
  <si>
    <t>Excel calculera 2 comme 2 Kg</t>
  </si>
  <si>
    <t>⓰</t>
  </si>
  <si>
    <t>donc pour les produits à l'unité saisissez vos valeurs dans la première colonne</t>
  </si>
  <si>
    <t>⓱</t>
  </si>
  <si>
    <t>⓲</t>
  </si>
  <si>
    <t>⓳</t>
  </si>
  <si>
    <t>⓴</t>
  </si>
  <si>
    <t>C/C</t>
  </si>
  <si>
    <t>vinaigre</t>
  </si>
  <si>
    <t>pincée</t>
  </si>
  <si>
    <t>paprika</t>
  </si>
  <si>
    <t>branche</t>
  </si>
  <si>
    <t>laurier</t>
  </si>
  <si>
    <t xml:space="preserve">symbole diamètre </t>
  </si>
  <si>
    <t>pied</t>
  </si>
  <si>
    <t>pied de veau</t>
  </si>
  <si>
    <t xml:space="preserve"> Ø</t>
  </si>
  <si>
    <t>les ¼ de botte de fines herbes en 0,25 les demi = 0.5 les 3/4 = 0.75</t>
  </si>
  <si>
    <t>cuillère/Café</t>
  </si>
  <si>
    <t xml:space="preserve"> idem pour les feuilles de gélatine les pieds de veau -les feuilles de basilic etc….</t>
  </si>
  <si>
    <t>C/P</t>
  </si>
  <si>
    <t>cuillère/Potage</t>
  </si>
  <si>
    <t>feuilles</t>
  </si>
  <si>
    <t>gélatine</t>
  </si>
  <si>
    <t>botte</t>
  </si>
  <si>
    <t>fines herbes</t>
  </si>
  <si>
    <t>Avant de saisir quoi que ce soit dans une cellule cliquez dessus pour vérifier qu'il n'y ait pas de formule</t>
  </si>
  <si>
    <t xml:space="preserve"> Nb de portions Si vous estimez que les grammages sont trop ou pas assez copieux pour vos convives : modifiez les sur ces tableaux les modifications se feront sur le tableau à imprimer</t>
  </si>
  <si>
    <t xml:space="preserve">Convertissez tout de suite les volumes en poids sur la base de 1L = 1Kg </t>
  </si>
  <si>
    <t>5 cl = 50g</t>
  </si>
  <si>
    <t xml:space="preserve">sauf cas exeptionnel pour recettes de précision </t>
  </si>
  <si>
    <t>Pas assez copieux : diminuez le nombre de portions cela augmentera les grammages à la portion sur le tableau à imprimer</t>
  </si>
  <si>
    <t>Donc la masse d'un litre de lait demi-écrémé doit être de 1,015 Kg (1015 g).</t>
  </si>
  <si>
    <t>Pour imprimer : sélectionnez les recettes qui vous conviennent : définir la zone d'impression -Mise à l'échelle : Ajuster la feuille à 1 page</t>
  </si>
  <si>
    <t>l'huile = 0,920 Kg/L</t>
  </si>
  <si>
    <t>Trop copieux : augmentez le nombre de portions cela diminuera les grammages à la portion sur le tableau à imprimer</t>
  </si>
  <si>
    <t>Alcool = 0,800 Kg/L</t>
  </si>
  <si>
    <t>eau salée nature = 1,130 Kg/L en fonction du sel ajouté</t>
  </si>
  <si>
    <t>densité des liquides pour cocktails</t>
  </si>
  <si>
    <t>Poids des aliments sur internet</t>
  </si>
  <si>
    <t>http://www.aliments.org/poids.htm</t>
  </si>
  <si>
    <t>http://www.nubel.be/fra/manual/liste_des_denrees_alimentaires.asp</t>
  </si>
  <si>
    <t>Tableau des calibres Fruits Frais</t>
  </si>
  <si>
    <t>http://www.crenoexpert.fr/flipbooks/expproduit/TABLEAUX-CALIBRES-FRUITS-2.pdf</t>
  </si>
  <si>
    <t>LIAISON AU TAPIOCA</t>
  </si>
  <si>
    <t>Saisissez votre volume</t>
  </si>
  <si>
    <t>POUR 1 LITRE DE SAUCE TERMINÉE</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</si>
  <si>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</si>
  <si>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</si>
  <si>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</si>
  <si>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</si>
  <si>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</si>
  <si>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</si>
  <si>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</si>
  <si>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</si>
  <si>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</si>
  <si>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</si>
  <si>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</si>
  <si>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</si>
  <si>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</si>
  <si>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</si>
  <si>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</si>
  <si>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</si>
  <si>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</si>
  <si>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</si>
  <si>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</si>
  <si>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</si>
  <si>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</si>
  <si>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</si>
  <si>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</si>
  <si>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</si>
  <si>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</si>
  <si>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</si>
  <si>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</si>
  <si>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</si>
  <si>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</si>
  <si>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</si>
  <si>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</si>
  <si>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</si>
  <si>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</si>
  <si>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</si>
  <si>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</si>
  <si>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</si>
  <si>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</si>
  <si>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</si>
  <si>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</si>
  <si>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</si>
  <si>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</si>
  <si>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</si>
  <si>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</si>
  <si>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</si>
  <si>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</si>
  <si>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</si>
  <si>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</si>
  <si>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</si>
  <si>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</si>
  <si>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</si>
  <si>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Adultes +</t>
  </si>
  <si>
    <t>Poids à l'arrondi supérieur</t>
  </si>
  <si>
    <t xml:space="preserve"> Effectifs</t>
  </si>
  <si>
    <t>Parts Adultes</t>
  </si>
  <si>
    <t>Saisissez vos valeurs dans les cellules fond ivoire ou jaune</t>
  </si>
  <si>
    <t>Combien faut-il commander pour des effectifs et des grammages différents</t>
  </si>
  <si>
    <t>Petit utilitaire d'Aide à la décision</t>
  </si>
  <si>
    <t xml:space="preserve">Saisissez vos effectifs </t>
  </si>
  <si>
    <t>couverts</t>
  </si>
  <si>
    <t xml:space="preserve"> et vos grammages nets à servir</t>
  </si>
  <si>
    <t>% de perte</t>
  </si>
  <si>
    <t>@</t>
  </si>
  <si>
    <t>Familles de convives</t>
  </si>
  <si>
    <t>Mater</t>
  </si>
  <si>
    <t>Prim</t>
  </si>
  <si>
    <t>Adultes</t>
  </si>
  <si>
    <t>Quantités à Prévoir</t>
  </si>
  <si>
    <t>Net à servir :</t>
  </si>
  <si>
    <t>Net</t>
  </si>
  <si>
    <t>Brut à Commander</t>
  </si>
  <si>
    <t>Brut</t>
  </si>
  <si>
    <t>en moyenne par convive</t>
  </si>
  <si>
    <t>Facultatif Mais si vous saisissez un % la question à vous poser c'est : le produit brut ou cru perd comblien au parage ou en cuisson</t>
  </si>
  <si>
    <t>Vous obtiendrez le poids brut à commander</t>
  </si>
  <si>
    <t>j'ai volontairement ajouté cette colonne..si vous supprimez une ligne le tableau fonctionnera quand même</t>
  </si>
  <si>
    <t>Composition d'une garniture "COUSCOUS"</t>
  </si>
  <si>
    <t>POIDS NET A FABRIQUER</t>
  </si>
  <si>
    <t>perte en cuisson</t>
  </si>
  <si>
    <t>carottes coupées</t>
  </si>
  <si>
    <t>courgettescoupées</t>
  </si>
  <si>
    <t>navets coupé</t>
  </si>
  <si>
    <t>pois chiches pré-cuits</t>
  </si>
  <si>
    <t>garniture de céléri branche</t>
  </si>
  <si>
    <t>poivrons rouges coupés</t>
  </si>
  <si>
    <t>poivrons verts coupés</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</si>
  <si>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</si>
  <si>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</si>
  <si>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</si>
  <si>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</si>
  <si>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</si>
  <si>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</si>
  <si>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</si>
  <si>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</si>
  <si>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</si>
  <si>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</si>
  <si>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</si>
  <si>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</si>
  <si>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</si>
  <si>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</si>
  <si>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</si>
  <si>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</si>
  <si>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</si>
  <si>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</si>
  <si>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</si>
  <si>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</si>
  <si>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</si>
  <si>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</si>
  <si>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</si>
  <si>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</si>
  <si>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</si>
  <si>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</si>
  <si>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enfants</t>
  </si>
  <si>
    <t>Poids  produit à servir</t>
  </si>
  <si>
    <t>Poids  produit envoyé</t>
  </si>
  <si>
    <t>Écart de poids</t>
  </si>
  <si>
    <t>Meilleur rapport</t>
  </si>
  <si>
    <t>produits entiers</t>
  </si>
  <si>
    <t>Tableaux pour service ou cuisson</t>
  </si>
  <si>
    <t>1 = saisissez le poids dans un contenant (une louche une barquette etc,,)</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</si>
  <si>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</si>
  <si>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</si>
  <si>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</si>
  <si>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</si>
  <si>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</si>
  <si>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</si>
  <si>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</si>
  <si>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</si>
  <si>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</si>
  <si>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</si>
  <si>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</si>
  <si>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</si>
  <si>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</si>
  <si>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</si>
  <si>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</si>
  <si>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</si>
  <si>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</si>
  <si>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</si>
  <si>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</si>
  <si>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</si>
  <si>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</si>
  <si>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</si>
  <si>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</si>
  <si>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</si>
  <si>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</si>
  <si>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</si>
  <si>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</si>
  <si>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 contenant peut être une louche pour le service un gastro pour la cuisson  etc…</t>
  </si>
  <si>
    <t>Les Mx cela peut s'appliquer à des morceaux de bourguignon mais aussi des tomates farcies ou des oreillons de pêches au sirop pour le dessert etc..</t>
  </si>
  <si>
    <t>QUANTITÉS A SERVIR OU A COMMANDER</t>
  </si>
  <si>
    <t>DESCRIPTIF</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</si>
  <si>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</si>
  <si>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</si>
  <si>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</si>
  <si>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</si>
  <si>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</si>
  <si>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</si>
  <si>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</si>
  <si>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</si>
  <si>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</si>
  <si>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</si>
  <si>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</si>
  <si>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</si>
  <si>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</si>
  <si>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</si>
  <si>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</si>
  <si>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</si>
  <si>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</si>
  <si>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</si>
  <si>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</si>
  <si>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</si>
  <si>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</si>
  <si>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</si>
  <si>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Prix D'ACHAT / Prix de VENTE</t>
  </si>
  <si>
    <t>PRIX D'ACHAT</t>
  </si>
  <si>
    <t>PRIX VENTE</t>
  </si>
  <si>
    <t>%  d'augmentation</t>
  </si>
  <si>
    <t>Augmentation</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</si>
  <si>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</si>
  <si>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</si>
  <si>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</si>
  <si>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</si>
  <si>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</si>
  <si>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</si>
  <si>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</si>
  <si>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</si>
  <si>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</si>
  <si>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A</t>
  </si>
  <si>
    <t>C</t>
  </si>
  <si>
    <t>B</t>
  </si>
  <si>
    <t>Cracker (Pâte à)</t>
  </si>
  <si>
    <t>Cracker (Poudre à)</t>
  </si>
  <si>
    <t>D</t>
  </si>
  <si>
    <t>F</t>
  </si>
  <si>
    <t>Etc…</t>
  </si>
  <si>
    <t>Fraises des bois dans leur jus</t>
  </si>
  <si>
    <t>I</t>
  </si>
  <si>
    <t>Tartes</t>
  </si>
  <si>
    <t>Insert Kappa fraise</t>
  </si>
  <si>
    <t>J</t>
  </si>
  <si>
    <t>Jus de fraise</t>
  </si>
  <si>
    <t>K</t>
  </si>
  <si>
    <t>Kappa fraise</t>
  </si>
  <si>
    <t>S</t>
  </si>
  <si>
    <t>Sorbet Avocat</t>
  </si>
  <si>
    <t>Gros Gateaux</t>
  </si>
  <si>
    <t>Siphon Fraise</t>
  </si>
  <si>
    <t>Sauce Fraise</t>
  </si>
  <si>
    <t>Sirop à Crackers</t>
  </si>
  <si>
    <t>Coussin Cœur St Valentin 2014 François Perret Journal du Patissier N° 292 page 40</t>
  </si>
  <si>
    <t>Pièces individuelles</t>
  </si>
  <si>
    <t>Utilitaire pour supprimer les espace vides dans une phrase</t>
  </si>
  <si>
    <t xml:space="preserve">•Contamination microbiologique (B)             •Multiplication des germes (B)      </t>
  </si>
  <si>
    <t>Caractères</t>
  </si>
  <si>
    <t xml:space="preserve">Récupérez votre texte dans la cellule verte </t>
  </si>
  <si>
    <t>le BOUDIN BLANC - univ-lorraine.fr-ENSAIA-marie</t>
  </si>
  <si>
    <t>MARIE    univ-ENSAIA-lorraine.fr</t>
  </si>
  <si>
    <t xml:space="preserve">Après avoir coupé en dés et fait blanchir 1 kg d'oignons, </t>
  </si>
  <si>
    <t>mettez-les à cuire dans le saindoux.</t>
  </si>
  <si>
    <t>personnes</t>
  </si>
  <si>
    <t xml:space="preserve">l'Auteur à prévu sa recette Pour 4 personnes  </t>
  </si>
  <si>
    <t xml:space="preserve">Pilez dans un mortier le blanc de volaille et la mie de pain </t>
  </si>
  <si>
    <t>par portion</t>
  </si>
  <si>
    <t>poids pour 1 personne - prévu par l'Auteur</t>
  </si>
  <si>
    <t>trempée dans le lait.</t>
  </si>
  <si>
    <t>il y a un problème soit de poids soit du NB de portions</t>
  </si>
  <si>
    <t xml:space="preserve"> Formez une pâte bien unie, puis ajoutez à cette préparation </t>
  </si>
  <si>
    <t>je vous propose cette version</t>
  </si>
  <si>
    <t xml:space="preserve">les jaunes d'oeufs et la crème. </t>
  </si>
  <si>
    <t>poids commercial d'un boudin blanc</t>
  </si>
  <si>
    <t>boudin</t>
  </si>
  <si>
    <t>Délayez le tout et ajoutez du sel et du poivre, épicez.</t>
  </si>
  <si>
    <t>avec</t>
  </si>
  <si>
    <t xml:space="preserve">vous pourrez faire  </t>
  </si>
  <si>
    <t xml:space="preserve">Versez la préparation précédente sur les oignons cuits, </t>
  </si>
  <si>
    <t>portions</t>
  </si>
  <si>
    <t>mêlez bien le tout et laissez 15 minutes sur le feu.</t>
  </si>
  <si>
    <t>Vos quantités</t>
  </si>
  <si>
    <t xml:space="preserve">Ingrédients  et quantités utilisées par l'Auteur </t>
  </si>
  <si>
    <t xml:space="preserve">Entonnez maintenant la préparation dans les boyaux de porc </t>
  </si>
  <si>
    <t xml:space="preserve">que vous aurez préalablement bien nettoyés et échaudés. </t>
  </si>
  <si>
    <t>200 g de saindoux</t>
  </si>
  <si>
    <t xml:space="preserve">Les boyaux étant pleins et liés par les deux bouts, </t>
  </si>
  <si>
    <t xml:space="preserve">1 kg d'oignons cuits à blanc </t>
  </si>
  <si>
    <t>piquez-les ça et là avec une épingle, afin que la vapeur</t>
  </si>
  <si>
    <t>PM</t>
  </si>
  <si>
    <t>dans du beurre</t>
  </si>
  <si>
    <t xml:space="preserve"> de leur contenu ne les fasse pas crever.</t>
  </si>
  <si>
    <t>200 g de blanc de volaille</t>
  </si>
  <si>
    <t xml:space="preserve">Faites chauffer de l'eau dans une grande marmite </t>
  </si>
  <si>
    <t>boyaux de porc</t>
  </si>
  <si>
    <t xml:space="preserve">et plongez-y les boudins </t>
  </si>
  <si>
    <t>200 g de mie de pain</t>
  </si>
  <si>
    <t>un peu avant qu'elle soit en ébullition, prenez garde</t>
  </si>
  <si>
    <t>2 dl de lait</t>
  </si>
  <si>
    <t>à maintenir ce degré de chaleur de l'eau</t>
  </si>
  <si>
    <t>2 dl de crème</t>
  </si>
  <si>
    <t xml:space="preserve"> sans que jamais elle ne soit à ébullition.</t>
  </si>
  <si>
    <t>200 g de lard gras</t>
  </si>
  <si>
    <t>Laissez cuire ainsi pendant 45 minutes.</t>
  </si>
  <si>
    <t>jaunes</t>
  </si>
  <si>
    <t>4 jaunes d'oeufs</t>
  </si>
  <si>
    <t xml:space="preserve">Après avoir retiré les boudins de leur eau de cuisson, </t>
  </si>
  <si>
    <t>50 g de beurre</t>
  </si>
  <si>
    <t xml:space="preserve">laissez-les refroidir. </t>
  </si>
  <si>
    <t>sel</t>
  </si>
  <si>
    <t xml:space="preserve">Servez après avoir fait grillé les boudins légèrement ciselés </t>
  </si>
  <si>
    <t>poivre</t>
  </si>
  <si>
    <t xml:space="preserve">sur feu doux. </t>
  </si>
  <si>
    <t>muscade</t>
  </si>
  <si>
    <t>thym</t>
  </si>
  <si>
    <t>lien</t>
  </si>
  <si>
    <t>univ-lorraine.fr-ENSAIA-marie</t>
  </si>
  <si>
    <t>http://web04.univ-lorraine.fr/ENSAIA/marie/web/ntic/pages/2008/fugnan.html</t>
  </si>
  <si>
    <t>Boudin blanc poêlé eventail de pomme et de foie gras</t>
  </si>
  <si>
    <t>❺ Nb de portions</t>
  </si>
  <si>
    <t>Piquez les boudins avec les dents d'une fourchette.</t>
  </si>
  <si>
    <t>Faites-les griller dans une poêle avec 20 g de beurre en les retournant souvent.</t>
  </si>
  <si>
    <t>Pendant ce temps, pelez les pommes,</t>
  </si>
  <si>
    <t>boudins</t>
  </si>
  <si>
    <t>4 boudins blancs truffés</t>
  </si>
  <si>
    <t xml:space="preserve"> épépinez-les </t>
  </si>
  <si>
    <t>et coupez-les en tranches.</t>
  </si>
  <si>
    <t>60 g de foie gras cuit</t>
  </si>
  <si>
    <t>Arrosez-les aussitôt de jus de citron pour garder la chair blanche.</t>
  </si>
  <si>
    <t>4 pommes reine des reinettes</t>
  </si>
  <si>
    <t xml:space="preserve">Dans une autre poêle, faites fondre le reste du beurre </t>
  </si>
  <si>
    <t>et faites-y colorer les tranches de pommes environ 3 min de chaque côté.</t>
  </si>
  <si>
    <t>1 cuillère à café de moutarde</t>
  </si>
  <si>
    <t>Ecrasez soigneusement les grains de poivre et de sel dans un mortier.</t>
  </si>
  <si>
    <t>C/S</t>
  </si>
  <si>
    <t>2 cuillère à soupe de calvados</t>
  </si>
  <si>
    <t>Dressez les boudins sur quatre assiettes de service chaudes.</t>
  </si>
  <si>
    <t>20 cl de crème liquide</t>
  </si>
  <si>
    <t>Disposez à côté les pommes poêlées et les lamelles de foie gras en éventail.</t>
  </si>
  <si>
    <t>citrons</t>
  </si>
  <si>
    <t>le jus d'1/2 citron</t>
  </si>
  <si>
    <t xml:space="preserve"> Versez la moutarde dans la poêle ayant contenu les boudins </t>
  </si>
  <si>
    <t>cuillère à soupe de persil ciselé</t>
  </si>
  <si>
    <t xml:space="preserve">et portez sur le feu moyen.laissez cuire quelques instants en </t>
  </si>
  <si>
    <t>grains</t>
  </si>
  <si>
    <t>8 grains de poivre noir</t>
  </si>
  <si>
    <t>tournant à la cuillère en bois, puis versez le calvados et la crème liquide.</t>
  </si>
  <si>
    <t>1 cuillère à café de gros sel</t>
  </si>
  <si>
    <t xml:space="preserve">Salez, poivrez </t>
  </si>
  <si>
    <t xml:space="preserve">incorporez le persil ciselé à la sauce. </t>
  </si>
  <si>
    <t>Retirez du feu dès que la crème épaissit</t>
  </si>
  <si>
    <t xml:space="preserve"> et nappez-en les boudins.</t>
  </si>
  <si>
    <t>Servez en décorant d'un brin de cerfeuil ou de persil.</t>
  </si>
  <si>
    <t>BRUT</t>
  </si>
  <si>
    <t>NET</t>
  </si>
  <si>
    <t>largeur de colonnes</t>
  </si>
  <si>
    <t>Aide à la décision en Kg</t>
  </si>
  <si>
    <t>NOM DE LA RECETTE OU DU PLAT</t>
  </si>
  <si>
    <t>ENTRÉES</t>
  </si>
  <si>
    <t>Supression de ces lignes interdit</t>
  </si>
  <si>
    <t>Adresse WEB</t>
  </si>
  <si>
    <t>Collez à la place de ce texte l'adresse internet de votre recette.Puis positionnez vous à la fin de HTM et cliquez sur entrée pour valider cette adresse</t>
  </si>
  <si>
    <t>Agrumes  Pomme Pample.)</t>
  </si>
  <si>
    <t>Modèle</t>
  </si>
  <si>
    <t>La recette a été prévue pour:</t>
  </si>
  <si>
    <t>Vous voulez la dupliquer pour:</t>
  </si>
  <si>
    <t>Recette éditée le :</t>
  </si>
  <si>
    <t>RECETTE DUPLIQUÉE POUR:</t>
  </si>
  <si>
    <t>FF-H-2009</t>
  </si>
  <si>
    <t>Unités : couverts -Kg- litre - Produit etc..</t>
  </si>
  <si>
    <t xml:space="preserve">Poids </t>
  </si>
  <si>
    <t>UNITE</t>
  </si>
  <si>
    <t>% Perte</t>
  </si>
  <si>
    <t>Net Auteur</t>
  </si>
  <si>
    <t>NET à fabriquer</t>
  </si>
  <si>
    <t>Net Arrondi</t>
  </si>
  <si>
    <t>Masquer les colonnes</t>
  </si>
  <si>
    <t>Prix unitaire</t>
  </si>
  <si>
    <t>Prix de Revient</t>
  </si>
  <si>
    <t>COMPTEUR DE CARACTÈRES</t>
  </si>
  <si>
    <t>PRODUITS</t>
  </si>
  <si>
    <t>ORGANISATION RAISONNÉE DU TRAVAIL ET HACCP</t>
  </si>
  <si>
    <t>pour la colonne  Q</t>
  </si>
  <si>
    <t>pour la colonne  R</t>
  </si>
  <si>
    <t>pour la colonne  S</t>
  </si>
  <si>
    <t>COMPTEUR 255 CARACTÈRES MAXI PAR CELLULE</t>
  </si>
  <si>
    <t>agneau</t>
  </si>
  <si>
    <t>kg</t>
  </si>
  <si>
    <t>vous pouvez supprimer ces lignes sans affecter le fonctionnement de la fiche</t>
  </si>
  <si>
    <t>carottes</t>
  </si>
  <si>
    <t>Supression de cette ligne interdit</t>
  </si>
  <si>
    <t>UPRT : Union des Professionnels de la Restauration Territoriale</t>
  </si>
  <si>
    <t>OBSERVATIONS ou principales étapes de fabrication adaptées à votre organisation</t>
  </si>
  <si>
    <t xml:space="preserve">Contenances </t>
  </si>
  <si>
    <t>1Gastro 1/1</t>
  </si>
  <si>
    <t>1 Sauteuse</t>
  </si>
  <si>
    <t>Photo ici</t>
  </si>
  <si>
    <t>Produit de base recette</t>
  </si>
  <si>
    <t>Sauce ou garniture</t>
  </si>
  <si>
    <t>Total dans 1 contenant</t>
  </si>
  <si>
    <t>Dans 1 four ou sauteuse</t>
  </si>
  <si>
    <t>Température</t>
  </si>
  <si>
    <t>Temps</t>
  </si>
  <si>
    <t>Mode fonction</t>
  </si>
  <si>
    <t>Rissolage</t>
  </si>
  <si>
    <t>Cuisson 1</t>
  </si>
  <si>
    <t>Cuisson 2</t>
  </si>
  <si>
    <t>Cuisson 3</t>
  </si>
  <si>
    <t>A Cœur</t>
  </si>
  <si>
    <t>Liaison froide</t>
  </si>
  <si>
    <t>Liaison Chaude</t>
  </si>
  <si>
    <t>impression Portrait</t>
  </si>
  <si>
    <t>GUIDE DE CUISSON et Remise en température ( R.E.T.)</t>
  </si>
  <si>
    <t>CONSEILS HYGIÈNE</t>
  </si>
  <si>
    <t>Phase</t>
  </si>
  <si>
    <t>Actions</t>
  </si>
  <si>
    <t>Mode de Fonctionnement</t>
  </si>
  <si>
    <t>Température du four</t>
  </si>
  <si>
    <t xml:space="preserve"> % Humidité </t>
  </si>
  <si>
    <t xml:space="preserve">Temps </t>
  </si>
  <si>
    <t>A Cœur du produit liaison froide 1 / chaude 2</t>
  </si>
  <si>
    <t xml:space="preserve">% perte </t>
  </si>
  <si>
    <t>Observations</t>
  </si>
  <si>
    <t>Les points à risque</t>
  </si>
  <si>
    <t>Les mesures préventives</t>
  </si>
  <si>
    <t>N° 1</t>
  </si>
  <si>
    <t>Préchauffage</t>
  </si>
  <si>
    <t xml:space="preserve"> N° 2</t>
  </si>
  <si>
    <t>Cuisson</t>
  </si>
  <si>
    <t>N° 3</t>
  </si>
  <si>
    <t>N° 4</t>
  </si>
  <si>
    <t>Régénération banquet</t>
  </si>
  <si>
    <t>Conseils et suggestions :</t>
  </si>
  <si>
    <t>Préchauffage: 30 à 50° au dessus de la température de cuisson selon la quantité enfournée</t>
  </si>
  <si>
    <t>L'Auteur à prévu sa recette pour :</t>
  </si>
  <si>
    <t>Portion Auteur</t>
  </si>
  <si>
    <t>Net à fabriquer</t>
  </si>
  <si>
    <t xml:space="preserve">Avec vos effectifs et grammages </t>
  </si>
  <si>
    <t xml:space="preserve"> et vos grammages</t>
  </si>
  <si>
    <t>Dupliquez la recette de l' Auteur par :</t>
  </si>
  <si>
    <t>A fabriquer :</t>
  </si>
  <si>
    <t>BRUT A COMMANDER</t>
  </si>
  <si>
    <t>Perte:</t>
  </si>
  <si>
    <t>AU CHOIX : collez un de ces tableaux dans la fiche</t>
  </si>
  <si>
    <t>LA CUISINE COLLECTIVE Edi.BPI 2006   Grossmann et Le franc</t>
  </si>
  <si>
    <r>
      <t xml:space="preserve">OBSERVATIONS et matériels utilisés  </t>
    </r>
    <r>
      <rPr>
        <i/>
        <sz val="8"/>
        <rFont val="Arial"/>
        <family val="2"/>
      </rPr>
      <t>(attention valeurs pour formule colonne L et figées avec dollars colonne J et K)</t>
    </r>
  </si>
  <si>
    <t>Pour</t>
  </si>
  <si>
    <t>MATÉRIELS suite</t>
  </si>
  <si>
    <t>Poids par personne</t>
  </si>
  <si>
    <t>Temps de préparation</t>
  </si>
  <si>
    <t>Temps de cuisson</t>
  </si>
  <si>
    <t>MATÉRIELS UTILISÉS  pour:</t>
  </si>
  <si>
    <t>Bonne utilisation</t>
  </si>
  <si>
    <t>Joel Leboucher Cuisine Centrale de Rochefort sur mer</t>
  </si>
  <si>
    <t>il est plus facile de comprendre et d'interpréter la recette d'un Auteur rapportée à 1Kg = 1000g</t>
  </si>
  <si>
    <t>Poids Perte</t>
  </si>
  <si>
    <t>Poids nets</t>
  </si>
  <si>
    <t>Poids bruts</t>
  </si>
  <si>
    <t>Poids brut demandé</t>
  </si>
  <si>
    <t>Œufs entiers</t>
  </si>
  <si>
    <t>Calculer un pourcentage - exemple</t>
  </si>
  <si>
    <t>lien vidéo Youtube</t>
  </si>
  <si>
    <t>Poids NET demandé</t>
  </si>
  <si>
    <t>% perte</t>
  </si>
  <si>
    <t>Total Net</t>
  </si>
  <si>
    <t>Total Brut</t>
  </si>
  <si>
    <t>AU DELA DE 3 VOTRE N° DE CHOIX N'EST PAS CORRECT</t>
  </si>
  <si>
    <t>STOP</t>
  </si>
  <si>
    <t>MAXI</t>
  </si>
  <si>
    <t>N °</t>
  </si>
  <si>
    <t>Pourcentages : Calculer un pourcentage</t>
  </si>
  <si>
    <t>90% ? On multiplie 140 par 0.9</t>
  </si>
  <si>
    <t>https://www.mathematiquesfaciles.com/pourcentages-calculer-un-pourcentage_2_19885.htm</t>
  </si>
  <si>
    <t>http://www.lyc-monnet-juvisy.ac-versailles.fr/Diapomath.pdf</t>
  </si>
  <si>
    <t>Révisez, et entrainez vous.</t>
  </si>
  <si>
    <t>sans calculatrice...</t>
  </si>
  <si>
    <t>D.CATROU 2010</t>
  </si>
  <si>
    <t>Lycée Jean Monnet…Juvisy - académie de Versailles</t>
  </si>
  <si>
    <t>Comprendre les maths!</t>
  </si>
  <si>
    <t>Florent Gouachon</t>
  </si>
  <si>
    <t>Liam Dauchat</t>
  </si>
  <si>
    <t>https://www.cmath.fr/cesite/presentation.php</t>
  </si>
  <si>
    <t>https://www.cmath.fr/6eme/pourcentages/cours.php</t>
  </si>
  <si>
    <t>Besançon</t>
  </si>
  <si>
    <t>Comment compter le pourcentage de tête vite et facilement</t>
  </si>
  <si>
    <t>http://www.un-calcul.fr/calcul-comptabilite/comment-calculer-un-pourcentage-338</t>
  </si>
  <si>
    <t>http://calc.name/blog/comment-compter-le-pourcentage-de-tete-vite-et-facilement/</t>
  </si>
  <si>
    <t>Comment retrouver la valeur de départ ?</t>
  </si>
  <si>
    <t>http://www.capte-les-maths.com/pourcentage/les_pourcentages_p10.php</t>
  </si>
  <si>
    <t>Les Maths ? Je capte pas ! Les chiffres ? J'y comprends rien ! Vous vous reconnaissez ?</t>
  </si>
  <si>
    <t>Vous qui désespérez... Vous que les Maths n'intéressent pas... Et pourtant il faudrait...</t>
  </si>
  <si>
    <t>Alors capte-les-maths.com est fait pour vous !</t>
  </si>
  <si>
    <t>500 x (8/100) = 40</t>
  </si>
  <si>
    <t>ou alors</t>
  </si>
  <si>
    <t>500 x 0.08 = 40</t>
  </si>
  <si>
    <t>0.08 = (8/100)</t>
  </si>
  <si>
    <t>http://www.slate.fr/story/82029/soldes-calculer-rabais</t>
  </si>
  <si>
    <t>Comment calculer combien on va payer pendant les soldes?</t>
  </si>
  <si>
    <t>https://fr.wikipedia.org/wiki/Pourcentage</t>
  </si>
  <si>
    <t>wikipedia.org</t>
  </si>
  <si>
    <t>http://fabie.info.pagesperso-orange.fr/math/cours7.htm</t>
  </si>
  <si>
    <t>fabie.info.pagesperso-orange</t>
  </si>
  <si>
    <t>https://www.maths-et-tiques.fr/telech/Pourcent.pdf</t>
  </si>
  <si>
    <t>http://www.maths-et-tiques.fr/index.php/cours-en-videos</t>
  </si>
  <si>
    <t>https://www.youtube.com/c/YMONKA</t>
  </si>
  <si>
    <t>Calculer un pourcentage avec Excel</t>
  </si>
  <si>
    <t>http://fortimelp.fr/content/44-calculer-un-pourcentage</t>
  </si>
  <si>
    <t>Valeur d'un pourcentage, calcul simplifié</t>
  </si>
  <si>
    <t>Au lieu de multiplier par 5, puis de diviser par 100,</t>
  </si>
  <si>
    <t>Le calcul se réduit maintenant à une seule opération arithmétique, a savoir</t>
  </si>
  <si>
    <t xml:space="preserve"> il est plus simple de multiplier par </t>
  </si>
  <si>
    <t>opération qu'on peut réaliser mentalement.</t>
  </si>
  <si>
    <t>Commencer par un calcul oral: quand on déduit le</t>
  </si>
  <si>
    <t xml:space="preserve"> 5 %, il reste le 95 %     ( 100 - 5 )</t>
  </si>
  <si>
    <t xml:space="preserve">On peut alors calculer directement le résultat, à savoir: </t>
  </si>
  <si>
    <t xml:space="preserve">Avec cette manière de faire, la calculatrice n'a été utilisée que pour une seule opération arithmétique : </t>
  </si>
  <si>
    <t>une multiplication, ce qui augmente la vitesse et réduit les occasions de se tromper.</t>
  </si>
  <si>
    <t xml:space="preserve">5 / 100 = 0.05, </t>
  </si>
  <si>
    <t>(87 Kg) × 0.95 = 82.65 kg</t>
  </si>
  <si>
    <t>(87 Kg) x 0.05 = 4.35 Kg</t>
  </si>
  <si>
    <t>https://www.deleze.name/marcel/culture/taux_composes/taux_simple.html</t>
  </si>
  <si>
    <t>https://www.youtube.com/watch?v=dWC54hCv0pc</t>
  </si>
  <si>
    <t>https://www.youtube.com/watch?v=psIZ0y_8VVc</t>
  </si>
  <si>
    <t>https://www.youtube.com/watch?v=mGDjvAcvigc</t>
  </si>
  <si>
    <t>https://www.youtube.com/watch?v=PyDvkMr3qfg</t>
  </si>
  <si>
    <t>https://www.youtube.com/watch?v=_PTjJ7UD4eo</t>
  </si>
  <si>
    <t>Comment convertir en pourcentage</t>
  </si>
  <si>
    <t>https://fr.wikihow.com/convertir-en-pourcentage</t>
  </si>
  <si>
    <t>mode d'emploi simple pour appliquer un pourcentage d'augmentation avec la Calculatrice de Windows.</t>
  </si>
  <si>
    <t>http://www.astuceshebdo.com/2012/03/comment-calculer-un-pourcentage-cas-n-1.html</t>
  </si>
  <si>
    <t>https://www.youtube.com/watch?v=dQafvb2O01U</t>
  </si>
  <si>
    <t>https://www.youtube.com/watch?v=QTGvjmAhEHo</t>
  </si>
  <si>
    <t>https://www.youtube.com/watch?v=tSp2xkS-tKs</t>
  </si>
  <si>
    <t>http://www.capte-les-maths.com/pourcentage/les_pourcentages_p6.php</t>
  </si>
  <si>
    <t>Comment appliquer une augmentation en pourcentage ?</t>
  </si>
  <si>
    <t>Pour prendre 20% de 140</t>
  </si>
  <si>
    <t>il suffit de multiplier 140 par 20 %</t>
  </si>
  <si>
    <t>c'est-à-dire faire : (140 * 20) / 100</t>
  </si>
  <si>
    <t xml:space="preserve">ou plus simplement : </t>
  </si>
  <si>
    <t>140 * 0.2(On obtient : 28)</t>
  </si>
  <si>
    <t xml:space="preserve">Si on avait à trouver 40% de 140, </t>
  </si>
  <si>
    <t>on aurait multiplié 140 par 0.4</t>
  </si>
  <si>
    <t xml:space="preserve">Voici la formule pour calculer un pourcentage, </t>
  </si>
  <si>
    <t>par exemple 8% de 500 :</t>
  </si>
  <si>
    <t>A chacun d'utiliser le lien qui lui convient le mieux</t>
  </si>
  <si>
    <t>Pour prendre, par exemple, le 5 % de 87 Kg</t>
  </si>
  <si>
    <t>Pour déduire, par exemple, le 5 % de 87 Kg</t>
  </si>
  <si>
    <t>A VOUS DE SAISIR ICI VOTRE PROGRESSION</t>
  </si>
  <si>
    <t>faire court : un verbe = une action</t>
  </si>
  <si>
    <t>? Albert A VOUS DE SAISIR LE NOM DE L'AUTEUR ICI</t>
  </si>
  <si>
    <t>Nom de la recette A SAISIR ICI</t>
  </si>
  <si>
    <t>CHOIX N° 2</t>
  </si>
  <si>
    <t>CHOIX N° 3</t>
  </si>
  <si>
    <t>CHOIX N° 1</t>
  </si>
  <si>
    <t>1 = vous respectez la recette de l'Auteur et vous la multipliez par le poids que vous voulez - pas de % de perte 1Kg brut = 1 kg net</t>
  </si>
  <si>
    <t>Poids brut ou poids net ? Ne payez pas l'emballage !</t>
  </si>
  <si>
    <t>https://www.economie.gouv.fr/files/files/directions_services/dgccrf/documentation/publications/depliants/poidsbrut_poidsnet.pdf</t>
  </si>
  <si>
    <t>CET FICHE  REGROUPE DES RECETTES DE QUELLE FAMILLE  (plats-légumes-desserts ou autres)</t>
  </si>
  <si>
    <t>CECI EST UN TABLEAU D'AFFICHAGE A IMPRIMER</t>
  </si>
  <si>
    <t>MODE DE PROGRESSION A IMPRIMER</t>
  </si>
  <si>
    <t>exemple de texte avec espaces (83 caractères en comptant les espaces)</t>
  </si>
  <si>
    <t>1 banane</t>
  </si>
  <si>
    <t>Comprendre l'affichage</t>
  </si>
  <si>
    <t>pourquoi des quantités dans cette colonne</t>
  </si>
  <si>
    <t>? une pâtisserie est souvent composée de recettes filles  attachées à une recette Mère</t>
  </si>
  <si>
    <t>Comment remplir ce tableau</t>
  </si>
  <si>
    <t>Poids unitaires à saisir en grammes la cellule est formatée pour ajouter g</t>
  </si>
  <si>
    <t xml:space="preserve"> les Poids Unitaire</t>
  </si>
  <si>
    <t>http://www.educonline.net/spip/IMG/pdf/densite_MasseVolumique.pdf</t>
  </si>
  <si>
    <t>j'ai aussi arbitrairement décidé de supprimer les Volumes. Allez faire comprendre à Excel que 20 cl ce ne sont pas 20 Kg ; de + je souhaite que les cuisiniers s'obligent à autant de rigueur que les patissiers. Tout doit se peser et non se faire à la "chichette ou au pif"</t>
  </si>
  <si>
    <t xml:space="preserve">Pour le lait entier, la densité donnée habituellement est de 1,030 par rapport à l'eau qui est de 1. </t>
  </si>
  <si>
    <t xml:space="preserve">On peut donc considérer que les 0,030 corespondent à la graisse du lait entier. </t>
  </si>
  <si>
    <t xml:space="preserve">Pour le lait demi-écrémé, la graisse ne devrait représenter que 0,030/2, donc 0,015. </t>
  </si>
  <si>
    <t>DENSITÉ j'ai arbitrairement décidé qu'1 litre = 1 Kg (bien que ce ne soit pas vrai pour tout) l'alcool 800 g - l'huile 900 g et le lait 1030 g mais j'assume</t>
  </si>
  <si>
    <t>les cellules sont formatées pour ajouter g</t>
  </si>
  <si>
    <t>j'ajoute des poids non indiqués pour ne pas fausser le résultat exemple pour les œufs et la banane</t>
  </si>
  <si>
    <t>Pour retrouver la recette sur le net collez l'adresse ici</t>
  </si>
  <si>
    <t>2 = POIDS BRUT DEMANDÉ MOINS % DE PERTE = POIDS NET</t>
  </si>
  <si>
    <t>3 = POIDS NET DEMANDÉ + % DE PERTE = POIDS BRUT</t>
  </si>
  <si>
    <t>% NET</t>
  </si>
  <si>
    <t>87-5%</t>
  </si>
  <si>
    <t>coefficient</t>
  </si>
  <si>
    <t>% Perte pour toute la recette</t>
  </si>
  <si>
    <t xml:space="preserve">% PERTE Total </t>
  </si>
  <si>
    <t xml:space="preserve">cela peut-être le cas par exemple pour une génoise ou autre préparation dans ce cas saisissez votre % de perte  dans la cellule prévue ❾ </t>
  </si>
  <si>
    <t>si vous utilisez des oignons surgelés pas de perte à l'épluchage mais 50% de perte en cuisson</t>
  </si>
  <si>
    <t>exemple les oignons perdent 5 % à l'épluchage + 30 % en cuisson - saisissez donc ces 35% de perte sur la ligne correspondante</t>
  </si>
  <si>
    <t>1° possibilité</t>
  </si>
  <si>
    <t>la plus simple vous pensez que toute votre recette perd au total X % (exemple 15 %) en cuisson</t>
  </si>
  <si>
    <t>ce % se répercutera sur toutes les lignes de produits</t>
  </si>
  <si>
    <t>2 ° possibilité</t>
  </si>
  <si>
    <t>saisir un% de perte à la ligne de produit mais cela demande un peu plus de réflexion</t>
  </si>
  <si>
    <t>si vous faites réduire du vin le poids net de votre recette change évidemment….pour chaque produit vous devez mener la même réflexion</t>
  </si>
  <si>
    <t>FACULTATIF pour les petites quantités</t>
  </si>
  <si>
    <t xml:space="preserve"> vous avez 3 possibilités</t>
  </si>
  <si>
    <t>3 ° possibilité</t>
  </si>
  <si>
    <t>vous maitrisez le sujet et vous mixez vos % de perte 40% de perte pour le vin en réduction plus 20 % de perte en concentration ou évaporation pour toute la recette (pour une sauce) par exemple</t>
  </si>
  <si>
    <t>donc saisissez 40 % sur la ligne du vin et saisissez 20 % dans la cellule  ❾ pour l'ensemble de la recette</t>
  </si>
  <si>
    <t>Pourcentage de perte des fruits et des légumes</t>
  </si>
  <si>
    <t>Lien Google:</t>
  </si>
  <si>
    <t>Mais si vous devez préparer 3000 repas….il vaut mieux maitriser le sujet</t>
  </si>
  <si>
    <t>densité</t>
  </si>
  <si>
    <t>Volume</t>
  </si>
  <si>
    <t>huile</t>
  </si>
  <si>
    <t>alcool</t>
  </si>
  <si>
    <t>produit</t>
  </si>
  <si>
    <t>conversion : volume / poids</t>
  </si>
  <si>
    <t>lait entier</t>
  </si>
  <si>
    <t>lait 1/2 écrémé</t>
  </si>
  <si>
    <t>litre</t>
  </si>
  <si>
    <t>1 baton de vanille</t>
  </si>
  <si>
    <t>banane</t>
  </si>
  <si>
    <t xml:space="preserve">1 = RECETTE DE L'AUTEUR AVEC VOTRE POIDS DEMANDÉ </t>
  </si>
  <si>
    <t>1 = RECETTE DE L'AUTEUR AVEC VOTRE POIDS DEMANDÉ</t>
  </si>
  <si>
    <t>pour 2 raisons - 1 - respecter le travail de l'Auteur - 2 - cela me permet de contrôler les quantités que je saisi colonnes Q à S</t>
  </si>
  <si>
    <t>NE RIEN SAISIR</t>
  </si>
  <si>
    <t>AVANT de saisir quoi que ce soit dans une cellule, cliquez dessus pour vérifier qu'il n'y ai pas de fonction</t>
  </si>
  <si>
    <t>% de pertes Mode d'emploi</t>
  </si>
  <si>
    <t>Tableau d'affichage N° 1 pour la lecture des recettes  ne saisir ici que le poids demandé et le choix d'édition</t>
  </si>
  <si>
    <t>Tableau  N° 2 pour la progression des recettes</t>
  </si>
  <si>
    <t>largeurs de colonnes</t>
  </si>
  <si>
    <t>Mise en page pour impression</t>
  </si>
  <si>
    <t>ICI zone d'impression</t>
  </si>
  <si>
    <t>LA zone d'impression</t>
  </si>
  <si>
    <t>sélectionnez ce que vous voulez imprimer à partir d'une cellule comme celle-ci</t>
  </si>
  <si>
    <t>jusqu’à une cellule comme celle là</t>
  </si>
  <si>
    <t>ajuster à 1 page en largeur sur 1 page en hauteur</t>
  </si>
  <si>
    <t>puis cliquer sur : Zone d'impression : définir</t>
  </si>
  <si>
    <t>Mise en page : paysage</t>
  </si>
  <si>
    <t>Marges : Haut 0.4  - Entête 0.3</t>
  </si>
  <si>
    <t>Gauche 0.1 - Droite 0.1</t>
  </si>
  <si>
    <t>Bas 0.4 - Pied de page 0.3</t>
  </si>
  <si>
    <t>Centrer sur la page: x Horizontalement</t>
  </si>
  <si>
    <t>baton</t>
  </si>
  <si>
    <t>AVANT D'IMPRIMER : SUPPRIMEZ LES LIGNES NON UTILISÉES</t>
  </si>
  <si>
    <t>&lt; interdiction de supprimer cette ligne</t>
  </si>
  <si>
    <t>il ne sert à rien d'imprimer des lignes vides</t>
  </si>
  <si>
    <t>VOIR COLONNE</t>
  </si>
  <si>
    <t>&lt; vous pouvez supprimer cette ligne si elle n'est pas utilisée</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</si>
  <si>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</si>
  <si>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</si>
  <si>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</si>
  <si>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</si>
  <si>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</si>
  <si>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</si>
  <si>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</si>
  <si>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</si>
  <si>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</si>
  <si>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</si>
  <si>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</si>
  <si>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</si>
  <si>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</si>
  <si>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</si>
  <si>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</si>
  <si>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</si>
  <si>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</si>
  <si>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</si>
  <si>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</si>
  <si>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</si>
  <si>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</si>
  <si>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</si>
  <si>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</si>
  <si>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</si>
  <si>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</si>
  <si>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</si>
  <si>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</si>
  <si>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</si>
  <si>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Quelques fonctions d'excel</t>
  </si>
  <si>
    <t>Excel Québec : Formules et fonctions Excel</t>
  </si>
  <si>
    <t>j'ai volontairement collé la recette de l'auteur telle qu'elle était sur le net</t>
  </si>
  <si>
    <t xml:space="preserve">parce que colonne </t>
  </si>
  <si>
    <t>https://web.archive.org/web/20150919082310/http://www.excelabo.net/</t>
  </si>
  <si>
    <t>http://www.mdf-xlpages.com/modules/publisher/</t>
  </si>
  <si>
    <t xml:space="preserve">3 sites à conserver pour vos recherches de formules Excel </t>
  </si>
  <si>
    <t>colonne</t>
  </si>
  <si>
    <t>saisissez ou collez la recette (collage spécial Valeurs) pour respecter la police de caractères</t>
  </si>
  <si>
    <t>Adresse de cellule</t>
  </si>
  <si>
    <t>N° de ligne</t>
  </si>
  <si>
    <t>Ces documents sont les fruits :</t>
  </si>
  <si>
    <t>de mon expérience et des utilitaires de la restauration collective</t>
  </si>
  <si>
    <t>de documents mis sur le net par des passionnés de cuisine</t>
  </si>
  <si>
    <t>Je les mets à disposition des professionnels et des jeunes cuisiniers en formation .</t>
  </si>
  <si>
    <t>A chacun de faire évoluer ces documents et de les modifier pour son utilisation.......</t>
  </si>
  <si>
    <t>Différence entre un fichier XLS et XLSX (ou XLSM)</t>
  </si>
  <si>
    <t>Transmettez votre savoir et votre savoir faire  peu importe qui le récupère; pourvu qu'un plus grand nombre puisse en bénéficier.</t>
  </si>
  <si>
    <t>Joël LEBOUCHER …Octobre 2015</t>
  </si>
  <si>
    <t>Cuisine Centrale de Rochefort sur Mer  jusqu'en 2013</t>
  </si>
  <si>
    <t>Adhérent de :</t>
  </si>
  <si>
    <r>
      <t xml:space="preserve">l'UPRT : </t>
    </r>
    <r>
      <rPr>
        <sz val="22"/>
        <color indexed="9"/>
        <rFont val="Arial"/>
        <family val="2"/>
      </rPr>
      <t>Union des Personnels dela Restauration Territoriale</t>
    </r>
  </si>
  <si>
    <r>
      <t xml:space="preserve">l'ACEHF   </t>
    </r>
    <r>
      <rPr>
        <sz val="22"/>
        <color indexed="9"/>
        <rFont val="Arial"/>
        <family val="2"/>
      </rPr>
      <t>Association Culinaire des Etablissements Hospitaliers de France</t>
    </r>
  </si>
  <si>
    <r>
      <t>Restau'Co :</t>
    </r>
    <r>
      <rPr>
        <sz val="22"/>
        <color indexed="9"/>
        <rFont val="Arial"/>
        <family val="2"/>
      </rPr>
      <t xml:space="preserve"> réseau animateur au service de la restauration collective</t>
    </r>
  </si>
  <si>
    <t>l'Académie Nationale de Cuisine</t>
  </si>
  <si>
    <r>
      <t xml:space="preserve">Participant : </t>
    </r>
    <r>
      <rPr>
        <sz val="22"/>
        <color indexed="9"/>
        <rFont val="Arial"/>
        <family val="2"/>
      </rPr>
      <t>au site National de ressources "Hotellerie-Restauration"</t>
    </r>
  </si>
  <si>
    <t>Jury AFPA : cuisiniers et Agents de Restauration</t>
  </si>
  <si>
    <t></t>
  </si>
  <si>
    <t></t>
  </si>
  <si>
    <t></t>
  </si>
  <si>
    <t>Composition de la recette en %</t>
  </si>
  <si>
    <t>LA fin de zone d'impression</t>
  </si>
  <si>
    <t>ICI début de zone d'impression</t>
  </si>
  <si>
    <t>LA - haut - zone d'impression</t>
  </si>
  <si>
    <t>N°</t>
  </si>
  <si>
    <t>Produits</t>
  </si>
  <si>
    <t>Nb d'unités</t>
  </si>
  <si>
    <t>Poids unitaire</t>
  </si>
  <si>
    <t>G</t>
  </si>
  <si>
    <t>R</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</si>
  <si>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</si>
  <si>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</si>
  <si>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</si>
  <si>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</si>
  <si>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</si>
  <si>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</si>
  <si>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</si>
  <si>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</si>
  <si>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</si>
  <si>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</si>
  <si>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</si>
  <si>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</si>
  <si>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</si>
  <si>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Artichaut</t>
  </si>
  <si>
    <t>Lapin vidé</t>
  </si>
  <si>
    <t>Sel fin 1 cuillère café rase</t>
  </si>
  <si>
    <t>Avocat 1/2</t>
  </si>
  <si>
    <t>Lentilles Verre de 20 cl</t>
  </si>
  <si>
    <t>Sel fin 1 cuillère soupe rase</t>
  </si>
  <si>
    <t>Avocat entier</t>
  </si>
  <si>
    <t>M</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</si>
  <si>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</si>
  <si>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</si>
  <si>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</si>
  <si>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</si>
  <si>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</si>
  <si>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</si>
  <si>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</si>
  <si>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</si>
  <si>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</si>
  <si>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</si>
  <si>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</si>
  <si>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</si>
  <si>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</si>
  <si>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</si>
  <si>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</si>
  <si>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</si>
  <si>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</si>
  <si>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</si>
  <si>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</si>
  <si>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</si>
  <si>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</si>
  <si>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</si>
  <si>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</si>
  <si>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</si>
  <si>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</si>
  <si>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</si>
  <si>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</si>
  <si>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</si>
  <si>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</si>
  <si>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</si>
  <si>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</si>
  <si>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</si>
  <si>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</si>
  <si>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</si>
  <si>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</si>
  <si>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</si>
  <si>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</si>
  <si>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N</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</si>
  <si>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</si>
  <si>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</si>
  <si>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</si>
  <si>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</si>
  <si>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</si>
  <si>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</si>
  <si>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</si>
  <si>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</si>
  <si>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</si>
  <si>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</si>
  <si>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</si>
  <si>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</si>
  <si>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</si>
  <si>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</si>
  <si>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</si>
  <si>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</si>
  <si>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</si>
  <si>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</si>
  <si>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</si>
  <si>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T</t>
  </si>
  <si>
    <t>Cacao Tasse thé de 15 cl</t>
  </si>
  <si>
    <t>Œufs 1 douzaine</t>
  </si>
  <si>
    <t>Tapioca Tasse thé de 15 cl</t>
  </si>
  <si>
    <t>Canard vidé</t>
  </si>
  <si>
    <t>Œufs blanc d'</t>
  </si>
  <si>
    <t>Thon boite 1/10</t>
  </si>
  <si>
    <t>Carotte moyenne</t>
  </si>
  <si>
    <t>Thon boite 1/3 saladière</t>
  </si>
  <si>
    <t>Céléri 1 branche</t>
  </si>
  <si>
    <t>Œufs jaune</t>
  </si>
  <si>
    <t>Thon boite 1/5</t>
  </si>
  <si>
    <t>Céléri rave</t>
  </si>
  <si>
    <t>Oignon moyen</t>
  </si>
  <si>
    <t>Thon boite 1/6 basse</t>
  </si>
  <si>
    <t>Cerises</t>
  </si>
  <si>
    <t>Olives</t>
  </si>
  <si>
    <t>Thon boite 1/8</t>
  </si>
  <si>
    <t>Choux fleur</t>
  </si>
  <si>
    <t>Orange</t>
  </si>
  <si>
    <t>Thon boite 4/4 saladière</t>
  </si>
  <si>
    <t>Choux vert</t>
  </si>
  <si>
    <t>Orange moyenne</t>
  </si>
  <si>
    <t>Tomate grosse</t>
  </si>
  <si>
    <t>Citron moyen</t>
  </si>
  <si>
    <t>P</t>
  </si>
  <si>
    <t>Tomate moyenne</t>
  </si>
  <si>
    <t>Clémentine</t>
  </si>
  <si>
    <t>Pamplemousse</t>
  </si>
  <si>
    <t>Tomate petite</t>
  </si>
  <si>
    <t>Colin</t>
  </si>
  <si>
    <t>Pêche</t>
  </si>
  <si>
    <t>Truite portion</t>
  </si>
  <si>
    <t>Concombre</t>
  </si>
  <si>
    <t>Pied veau</t>
  </si>
  <si>
    <t>Turbot</t>
  </si>
  <si>
    <t>Coquillette Verre de 20 cl</t>
  </si>
  <si>
    <t>Poireau beau</t>
  </si>
  <si>
    <t>V</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</si>
  <si>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</si>
  <si>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</si>
  <si>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</si>
  <si>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</si>
  <si>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</si>
  <si>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</si>
  <si>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</si>
  <si>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</si>
  <si>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</si>
  <si>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</si>
  <si>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</si>
  <si>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</si>
  <si>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</si>
  <si>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</si>
  <si>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</si>
  <si>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</si>
  <si>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</si>
  <si>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</si>
  <si>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</si>
  <si>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</si>
  <si>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</si>
  <si>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</si>
  <si>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</si>
  <si>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</si>
  <si>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</si>
  <si>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</si>
  <si>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</si>
  <si>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</si>
  <si>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</si>
  <si>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</si>
  <si>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</si>
  <si>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</si>
  <si>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</si>
  <si>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</si>
  <si>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</si>
  <si>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</si>
  <si>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</si>
  <si>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</si>
  <si>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</si>
  <si>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</si>
  <si>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</si>
  <si>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</si>
  <si>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</si>
  <si>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</si>
  <si>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</si>
  <si>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</si>
  <si>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</si>
  <si>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</si>
  <si>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</si>
  <si>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LIENS</t>
  </si>
  <si>
    <t>https://www.nubel.be/fra/default.aspx</t>
  </si>
  <si>
    <t>POIDS MOYEN BRUT DE LA PIÈCE</t>
  </si>
  <si>
    <t>http://www.basesdelacuisine.com/Cadre1/z1/pp80.htm</t>
  </si>
  <si>
    <t>Fruits et légumes frais Poids moyen d'une pièce</t>
  </si>
  <si>
    <t>http://lahalledepessac.com/content/14-fruits-et-legumes-frais-poids-moyen-d-une-piece</t>
  </si>
  <si>
    <t>TABLES DE GRAMMAGES</t>
  </si>
  <si>
    <t>http://etab.ac-poitiers.fr/lycee-hotelier-la-rochelle/IMG/pdf/Grammage_4.pdf</t>
  </si>
  <si>
    <t xml:space="preserve">POIDS MOYEN BRUT LEGUMES ET FRUITS </t>
  </si>
  <si>
    <t>http://dmcwilshim.canalblog.com/archives/2009/01/18/12131475.html</t>
  </si>
  <si>
    <t>Correspondance Calibre/ Poids fruits legumes</t>
  </si>
  <si>
    <t>Ananas (frais)/ananas (boîte)</t>
  </si>
  <si>
    <t>1 tranche moyenne</t>
  </si>
  <si>
    <t>100 g/35 g</t>
  </si>
  <si>
    <t>Mandarine</t>
  </si>
  <si>
    <t>1 moyenne</t>
  </si>
  <si>
    <t>60 g</t>
  </si>
  <si>
    <t>Avocat</t>
  </si>
  <si>
    <t>1 moyen</t>
  </si>
  <si>
    <t>160 g</t>
  </si>
  <si>
    <t>Mangue</t>
  </si>
  <si>
    <t>200 g</t>
  </si>
  <si>
    <t>Abricot (sans noyau)</t>
  </si>
  <si>
    <t>150 g</t>
  </si>
  <si>
    <t>Maquereau fumé</t>
  </si>
  <si>
    <t>1 filet</t>
  </si>
  <si>
    <t>145 g</t>
  </si>
  <si>
    <t>Margarine</t>
  </si>
  <si>
    <t>1 cuillère</t>
  </si>
  <si>
    <t>18 g</t>
  </si>
  <si>
    <t>Bacon</t>
  </si>
  <si>
    <t>1 fine tranche</t>
  </si>
  <si>
    <t>11 g</t>
  </si>
  <si>
    <t>Mayonnaise</t>
  </si>
  <si>
    <t>25 g</t>
  </si>
  <si>
    <t>130 g</t>
  </si>
  <si>
    <t>Melon</t>
  </si>
  <si>
    <t>540 g</t>
  </si>
  <si>
    <t>100 g</t>
  </si>
  <si>
    <t>Beurre de cacahuète</t>
  </si>
  <si>
    <t>15 g</t>
  </si>
  <si>
    <t>Miel</t>
  </si>
  <si>
    <t>27 g</t>
  </si>
  <si>
    <t>Bière (pils)</t>
  </si>
  <si>
    <t>1 verre à bière</t>
  </si>
  <si>
    <t>250 ml</t>
  </si>
  <si>
    <t>Milk-shake</t>
  </si>
  <si>
    <t>1 verre</t>
  </si>
  <si>
    <t>150 ml</t>
  </si>
  <si>
    <t>Biscotte blanche/complète</t>
  </si>
  <si>
    <t>8 g/10 g</t>
  </si>
  <si>
    <t>Moule</t>
  </si>
  <si>
    <t>1 pièce</t>
  </si>
  <si>
    <t>4 g</t>
  </si>
  <si>
    <t>Biscuit</t>
  </si>
  <si>
    <t>10 g</t>
  </si>
  <si>
    <t>Muesli</t>
  </si>
  <si>
    <t>1 tasse à café</t>
  </si>
  <si>
    <t>50 g</t>
  </si>
  <si>
    <t>Biscuit apéritif</t>
  </si>
  <si>
    <t>Biscuit au chocolat</t>
  </si>
  <si>
    <t>20 g</t>
  </si>
  <si>
    <t>Nectarine</t>
  </si>
  <si>
    <t>95 g</t>
  </si>
  <si>
    <t>Boudin blanc</t>
  </si>
  <si>
    <t>Noisettes</t>
  </si>
  <si>
    <t>10 pièces</t>
  </si>
  <si>
    <t>12 g</t>
  </si>
  <si>
    <t>Boudin noir</t>
  </si>
  <si>
    <t>Boudoir</t>
  </si>
  <si>
    <t>5,5 g</t>
  </si>
  <si>
    <t>Oeuf cuit</t>
  </si>
  <si>
    <t>Oignon</t>
  </si>
  <si>
    <t>115 g</t>
  </si>
  <si>
    <t>Cabillaud</t>
  </si>
  <si>
    <t>1 darne</t>
  </si>
  <si>
    <t>175 g</t>
  </si>
  <si>
    <t>Olive</t>
  </si>
  <si>
    <t>Cacahuètes</t>
  </si>
  <si>
    <t>1 cuillère/10 pièces</t>
  </si>
  <si>
    <t>20 g/20 g</t>
  </si>
  <si>
    <t>Omelette (1 œuf)</t>
  </si>
  <si>
    <t>Café/thé</t>
  </si>
  <si>
    <t>1 tasse</t>
  </si>
  <si>
    <t>125g</t>
  </si>
  <si>
    <t>140 g</t>
  </si>
  <si>
    <t>Cake</t>
  </si>
  <si>
    <t>30 g</t>
  </si>
  <si>
    <t>Cake fourré aux fruits</t>
  </si>
  <si>
    <t>35 g</t>
  </si>
  <si>
    <t>Pain blanc/gris</t>
  </si>
  <si>
    <t>1 tranche carrée</t>
  </si>
  <si>
    <t>Canard/faisan</t>
  </si>
  <si>
    <t>1 portion</t>
  </si>
  <si>
    <t>125 g</t>
  </si>
  <si>
    <t>1 tranche ronde</t>
  </si>
  <si>
    <t>29 g</t>
  </si>
  <si>
    <t>Carambole</t>
  </si>
  <si>
    <t>155 g</t>
  </si>
  <si>
    <t>Pain complet</t>
  </si>
  <si>
    <t>Carotte</t>
  </si>
  <si>
    <t>45 g</t>
  </si>
  <si>
    <t>Céleri rave, cru</t>
  </si>
  <si>
    <t>85 g</t>
  </si>
  <si>
    <t>Pain grillé blanc/gris</t>
  </si>
  <si>
    <t>21 g</t>
  </si>
  <si>
    <t>Céréales de petit déjeuner</t>
  </si>
  <si>
    <t>40 g</t>
  </si>
  <si>
    <t>Pain d'épices</t>
  </si>
  <si>
    <t>1 tranche</t>
  </si>
  <si>
    <t>23 g</t>
  </si>
  <si>
    <t>Cerise (sans noyau)</t>
  </si>
  <si>
    <t>Pain de seigle</t>
  </si>
  <si>
    <t>Cervelas</t>
  </si>
  <si>
    <t>Pain de viande</t>
  </si>
  <si>
    <t>Champignon, cuit</t>
  </si>
  <si>
    <t>Pain français (baguette)</t>
  </si>
  <si>
    <t>260 g</t>
  </si>
  <si>
    <t>Chicon</t>
  </si>
  <si>
    <t>Chips</t>
  </si>
  <si>
    <t>1 paquet</t>
  </si>
  <si>
    <t>Papaye</t>
  </si>
  <si>
    <t>Chocolat</t>
  </si>
  <si>
    <t>1 barre</t>
  </si>
  <si>
    <t>Parmesan</t>
  </si>
  <si>
    <t>Chou de Bruxelles, cuit</t>
  </si>
  <si>
    <t>Pastèque</t>
  </si>
  <si>
    <t>1125 g</t>
  </si>
  <si>
    <t>Chou-fleur/brocoli, cuit</t>
  </si>
  <si>
    <t>Pâte à tartiner (choco)</t>
  </si>
  <si>
    <t>33 g</t>
  </si>
  <si>
    <t>Citron</t>
  </si>
  <si>
    <t>70 g</t>
  </si>
  <si>
    <t>Pâté de foie</t>
  </si>
  <si>
    <t>Pâtes, cuites</t>
  </si>
  <si>
    <t>210 g</t>
  </si>
  <si>
    <t>Compote de pommes</t>
  </si>
  <si>
    <t>Pâtes, sèches</t>
  </si>
  <si>
    <t>Concombre, cru</t>
  </si>
  <si>
    <t>Pêche (sans noyau)</t>
  </si>
  <si>
    <t>Confiture</t>
  </si>
  <si>
    <t>Pickles</t>
  </si>
  <si>
    <t>Corned-beef</t>
  </si>
  <si>
    <t>Pistolet</t>
  </si>
  <si>
    <t>Corn Flakes</t>
  </si>
  <si>
    <t>Plie</t>
  </si>
  <si>
    <t>135 g</t>
  </si>
  <si>
    <t>Couque à la crème</t>
  </si>
  <si>
    <t>80 g</t>
  </si>
  <si>
    <t>Poire</t>
  </si>
  <si>
    <t>Couque au beurre</t>
  </si>
  <si>
    <t>75 g</t>
  </si>
  <si>
    <t>Poireau, cuit</t>
  </si>
  <si>
    <t>Couque suisse</t>
  </si>
  <si>
    <t>1 longue / ronde</t>
  </si>
  <si>
    <t>75 g / 90 g</t>
  </si>
  <si>
    <t>Poivron vert/jaune/rouge</t>
  </si>
  <si>
    <t>185 g</t>
  </si>
  <si>
    <t>Courgette, cuite</t>
  </si>
  <si>
    <t>Cramique</t>
  </si>
  <si>
    <t>Pomme de terre, cuite (ovale)</t>
  </si>
  <si>
    <t>Crème</t>
  </si>
  <si>
    <t>24 g</t>
  </si>
  <si>
    <t>Pomme de terre, rôtie</t>
  </si>
  <si>
    <t>Crème à fouetter</t>
  </si>
  <si>
    <t>Porto</t>
  </si>
  <si>
    <t>1 petit verre</t>
  </si>
  <si>
    <t>75 ml</t>
  </si>
  <si>
    <t>Crème glacée</t>
  </si>
  <si>
    <t>1 boule</t>
  </si>
  <si>
    <t>Poulet, poitrine (sans peau)</t>
  </si>
  <si>
    <t>Crêpe</t>
  </si>
  <si>
    <t>Poulet, cuisse(sans peau)</t>
  </si>
  <si>
    <t>1 cuisse</t>
  </si>
  <si>
    <t>165 g</t>
  </si>
  <si>
    <t>Crevettes</t>
  </si>
  <si>
    <t>Praline</t>
  </si>
  <si>
    <t>Croissant</t>
  </si>
  <si>
    <t>Prune, sans noyau</t>
  </si>
  <si>
    <t>55 g</t>
  </si>
  <si>
    <t>Croque-monsieur</t>
  </si>
  <si>
    <t>Prune, sèche</t>
  </si>
  <si>
    <t>6 g</t>
  </si>
  <si>
    <t>Croquette de pomme de terre (c)</t>
  </si>
  <si>
    <t>Pudding</t>
  </si>
  <si>
    <t>125 g/200 g</t>
  </si>
  <si>
    <t>Purée de pommes de terre</t>
  </si>
  <si>
    <t>1 cuillère/portion</t>
  </si>
  <si>
    <t>50 g/160 g</t>
  </si>
  <si>
    <t>Datte sèche (sans noyau)</t>
  </si>
  <si>
    <t>9 g</t>
  </si>
  <si>
    <t>Radis</t>
  </si>
  <si>
    <t>Raisin</t>
  </si>
  <si>
    <t>7 g</t>
  </si>
  <si>
    <t>Éclair au chocolat</t>
  </si>
  <si>
    <t>Raisin, sec</t>
  </si>
  <si>
    <t>Edam jeune</t>
  </si>
  <si>
    <t>Ravioli</t>
  </si>
  <si>
    <t>400 g</t>
  </si>
  <si>
    <t>Riz au lait, vanille</t>
  </si>
  <si>
    <t>100 g/200 g</t>
  </si>
  <si>
    <t>Farine</t>
  </si>
  <si>
    <t>Riz, cuit</t>
  </si>
  <si>
    <t>Fécule de pomme de terre</t>
  </si>
  <si>
    <t>Riz, non cuit</t>
  </si>
  <si>
    <t>1 sachet</t>
  </si>
  <si>
    <t>62,5 g</t>
  </si>
  <si>
    <t>Fenouil</t>
  </si>
  <si>
    <t>Fève de soja, cuite</t>
  </si>
  <si>
    <t>Salami</t>
  </si>
  <si>
    <t>Figue, sèche</t>
  </si>
  <si>
    <t>Sandwich sucré</t>
  </si>
  <si>
    <t>Filet d'Anvers</t>
  </si>
  <si>
    <t>Flétan, fumé</t>
  </si>
  <si>
    <t>Saumon</t>
  </si>
  <si>
    <t>180 g</t>
  </si>
  <si>
    <t>Flocons d'avoine</t>
  </si>
  <si>
    <t>Saumon, fumé</t>
  </si>
  <si>
    <t>Sel</t>
  </si>
  <si>
    <t>Frangipane</t>
  </si>
  <si>
    <t>1 part</t>
  </si>
  <si>
    <t>Soupe</t>
  </si>
  <si>
    <t>1 tasse/1 assiette</t>
  </si>
  <si>
    <t>300 ml/250 ml</t>
  </si>
  <si>
    <t>Frites</t>
  </si>
  <si>
    <t>250 g</t>
  </si>
  <si>
    <t>Spaghetti, préparé</t>
  </si>
  <si>
    <t>1 assiette</t>
  </si>
  <si>
    <t>300 g</t>
  </si>
  <si>
    <t>Fromage frais</t>
  </si>
  <si>
    <t>Spéculoos</t>
  </si>
  <si>
    <t>Fromage fondu</t>
  </si>
  <si>
    <t>1 portion/cuillère</t>
  </si>
  <si>
    <t>20 g/15 g</t>
  </si>
  <si>
    <t>Sucre</t>
  </si>
  <si>
    <t>1 cuillère/morceau</t>
  </si>
  <si>
    <t>15 g/6 g</t>
  </si>
  <si>
    <t>Fruit de la passion</t>
  </si>
  <si>
    <t>Sucre impalpable</t>
  </si>
  <si>
    <t>Galette de riz</t>
  </si>
  <si>
    <t>Tarte à la confiture</t>
  </si>
  <si>
    <t>Gaufre au chocolat</t>
  </si>
  <si>
    <t>Tarte au riz</t>
  </si>
  <si>
    <t>Gaufre de Liège</t>
  </si>
  <si>
    <t>Tarte aux fruits</t>
  </si>
  <si>
    <t>Gouda</t>
  </si>
  <si>
    <t>Tarte aux mattons</t>
  </si>
  <si>
    <t>1 morceau</t>
  </si>
  <si>
    <t>120 g</t>
  </si>
  <si>
    <t>Graisse de cuisson</t>
  </si>
  <si>
    <t>Toast</t>
  </si>
  <si>
    <t>3 g</t>
  </si>
  <si>
    <t>Gruyère</t>
  </si>
  <si>
    <t>Tomate</t>
  </si>
  <si>
    <t>Gruyère, râpé</t>
  </si>
  <si>
    <t>Truite</t>
  </si>
  <si>
    <t>Hamburger + sandwich</t>
  </si>
  <si>
    <t>Viande de porc, côtelette</t>
  </si>
  <si>
    <t>1 avec/sans côte</t>
  </si>
  <si>
    <t>175g /160 g</t>
  </si>
  <si>
    <t>Haricot blanc, cuit /sec</t>
  </si>
  <si>
    <t>35 g/105 g</t>
  </si>
  <si>
    <t>Viande de porc, tranche</t>
  </si>
  <si>
    <t>Hareng/maatje</t>
  </si>
  <si>
    <t>Vin de table blanc/rouge</t>
  </si>
  <si>
    <t>125 ml</t>
  </si>
  <si>
    <t>Huile</t>
  </si>
  <si>
    <t>Yaourt</t>
  </si>
  <si>
    <t>Jambon, cru, fumé</t>
  </si>
  <si>
    <t>4. MESURES DE CAPACITE*</t>
  </si>
  <si>
    <t>Jambon, cuit</t>
  </si>
  <si>
    <t>Jambon de dinde</t>
  </si>
  <si>
    <t>Jambon de poulet</t>
  </si>
  <si>
    <t>Cuillère à café</t>
  </si>
  <si>
    <t>4,5 g</t>
  </si>
  <si>
    <t>Jus de pomme/jus d'orange</t>
  </si>
  <si>
    <t>Cuillère à soupe</t>
  </si>
  <si>
    <t>Ketchup</t>
  </si>
  <si>
    <t>Cuillère à dessert</t>
  </si>
  <si>
    <t>8 g</t>
  </si>
  <si>
    <t>Kiwi</t>
  </si>
  <si>
    <t>Cuillère à sauce</t>
  </si>
  <si>
    <t>Louche</t>
  </si>
  <si>
    <t>Lait</t>
  </si>
  <si>
    <t>Tasse à ras bord</t>
  </si>
  <si>
    <t>Lait battu nature</t>
  </si>
  <si>
    <t>Tasse liquide</t>
  </si>
  <si>
    <t>Lait chocolaté</t>
  </si>
  <si>
    <t>1 petite bouteille</t>
  </si>
  <si>
    <t>200 ml</t>
  </si>
  <si>
    <t>Grande tasse à ras bord</t>
  </si>
  <si>
    <t>Lait concentré</t>
  </si>
  <si>
    <t>1 portion individuelle</t>
  </si>
  <si>
    <t>7,5 g</t>
  </si>
  <si>
    <t>Grande tasse liquide</t>
  </si>
  <si>
    <t>225 g</t>
  </si>
  <si>
    <t>Langue de bœuf</t>
  </si>
  <si>
    <t>Gobelet plastique à ras bord</t>
  </si>
  <si>
    <t>Lapin/lièvre (cuisse)</t>
  </si>
  <si>
    <t>Gobelet plastique liquide</t>
  </si>
  <si>
    <t>Lard fumé</t>
  </si>
  <si>
    <t>1 petite tranche</t>
  </si>
  <si>
    <t>Bol de soupe à ras bord</t>
  </si>
  <si>
    <t>Lasagne</t>
  </si>
  <si>
    <t>Bol de soupe liquide</t>
  </si>
  <si>
    <t>Levure fraîche</t>
  </si>
  <si>
    <t>1 petit paquet</t>
  </si>
  <si>
    <t>42 g</t>
  </si>
  <si>
    <t>Ravier à dessert</t>
  </si>
  <si>
    <t>Limonade/cola/eau</t>
  </si>
  <si>
    <t>Verre à limonade/eau</t>
  </si>
  <si>
    <t>Litchi</t>
  </si>
  <si>
    <t>Verre à limonade grand</t>
  </si>
  <si>
    <t>Verre à vin rouge</t>
  </si>
  <si>
    <t>Verre à vin blanc</t>
  </si>
  <si>
    <t>Verre à champagne</t>
  </si>
  <si>
    <t>Verre à bière petit</t>
  </si>
  <si>
    <t>Verre à bière grand</t>
  </si>
  <si>
    <t>330 g</t>
  </si>
  <si>
    <t>* Source:</t>
  </si>
  <si>
    <t>Groupe de travail « Poids et mesures », Conseil Supérieur d’Hygiène.</t>
  </si>
  <si>
    <t>https://portal.health.fgov.be/pls/portal/docs/PAGE/INTERNET_PG/HOMEPAGE_MENU/ABOUTUS1_MENU/INSTITUTIONSAPPARENTEES1_MENU/HOGEGEZONDHEIDSRAAD1_MENU/ADVIEZENENAANBEVELINGEN1_MENU/ADVIEZENENAANBEVELINGEN1_DOCS/6545-2_POIDSETMESURES_FR_2005_2.PDF</t>
  </si>
  <si>
    <t>Poids moyen (à la pièce, en grammes).  </t>
  </si>
  <si>
    <t>Modification.   Poids brut d'aliments résultant de la cuisson de:</t>
  </si>
  <si>
    <t>Verres</t>
  </si>
  <si>
    <t>Petit verre à eau/limonade, rempli normalement 150</t>
  </si>
  <si>
    <t>Grand verre à eau/limonade, rempli normalement 250</t>
  </si>
  <si>
    <t>Verre à vin: blanc/rouge, rempli normalement 125</t>
  </si>
  <si>
    <t>Verre à mousseux, rempli normalement 100</t>
  </si>
  <si>
    <t>Lors de l’établissement du poids des denrées alimentaires liquides (boissons alcoolisées,</t>
  </si>
  <si>
    <t>lait, lait chocolaté et lait de soja, milkshake et yaourt) les "ml" ont été assimilés aux "g"</t>
  </si>
  <si>
    <t>(source 7.104).</t>
  </si>
  <si>
    <t>Pour la crème glacée et la mousse, le facteur de conversion est mentionné dans la colonne</t>
  </si>
  <si>
    <t>précisions.</t>
  </si>
  <si>
    <t>Besoins journaliers (limites moyennes)</t>
  </si>
  <si>
    <t>En grammes</t>
  </si>
  <si>
    <t>En milligrammes</t>
  </si>
  <si>
    <t>Protides</t>
  </si>
  <si>
    <t>Lipides</t>
  </si>
  <si>
    <t>Glucides</t>
  </si>
  <si>
    <t>Phosphore</t>
  </si>
  <si>
    <t>Fer</t>
  </si>
  <si>
    <t>Vit. C</t>
  </si>
  <si>
    <t>Jeunes</t>
  </si>
  <si>
    <t> 2 à 4 ans</t>
  </si>
  <si>
    <t>30/35</t>
  </si>
  <si>
    <t>200/250</t>
  </si>
  <si>
    <t>700/750</t>
  </si>
  <si>
    <t>650/700</t>
  </si>
  <si>
    <t>40/60</t>
  </si>
  <si>
    <t> 4 à 6 ans</t>
  </si>
  <si>
    <t>35/40</t>
  </si>
  <si>
    <t>600/800</t>
  </si>
  <si>
    <t> 6 à 10 ans</t>
  </si>
  <si>
    <t>45/55</t>
  </si>
  <si>
    <t>300/340</t>
  </si>
  <si>
    <t>850/950</t>
  </si>
  <si>
    <t>10 à 12 ans (filles 9 à 11)</t>
  </si>
  <si>
    <t>60/65</t>
  </si>
  <si>
    <t>1 000/1 200</t>
  </si>
  <si>
    <t>1 100/1 300</t>
  </si>
  <si>
    <t>20/30</t>
  </si>
  <si>
    <t>60/100</t>
  </si>
  <si>
    <t>12 à 15 ans (filles 11 à 13)</t>
  </si>
  <si>
    <t>1 200/1 400</t>
  </si>
  <si>
    <t>1 300/1 500</t>
  </si>
  <si>
    <t>15 à 20 ans (filles 13 à 18)</t>
  </si>
  <si>
    <t>1 400/1 600</t>
  </si>
  <si>
    <t>1 500/1 700</t>
  </si>
  <si>
    <t>Hommes</t>
  </si>
  <si>
    <t>Vie sédentaire</t>
  </si>
  <si>
    <t>400/500</t>
  </si>
  <si>
    <t>800/900</t>
  </si>
  <si>
    <t>18/20</t>
  </si>
  <si>
    <t>70/80</t>
  </si>
  <si>
    <t>Travail de force</t>
  </si>
  <si>
    <t>85/110</t>
  </si>
  <si>
    <t>550/700</t>
  </si>
  <si>
    <t>1 500/1 800</t>
  </si>
  <si>
    <t>23/26</t>
  </si>
  <si>
    <t>90/110</t>
  </si>
  <si>
    <t>100/110</t>
  </si>
  <si>
    <t>850/1 000</t>
  </si>
  <si>
    <t>2 000/2 400</t>
  </si>
  <si>
    <t>30/45</t>
  </si>
  <si>
    <t>130/150</t>
  </si>
  <si>
    <t>Femmes</t>
  </si>
  <si>
    <t>350/400</t>
  </si>
  <si>
    <t>15/20</t>
  </si>
  <si>
    <t>60/70</t>
  </si>
  <si>
    <t>500/550</t>
  </si>
  <si>
    <t>1 500/2 000</t>
  </si>
  <si>
    <t>20/25</t>
  </si>
  <si>
    <t>100/150</t>
  </si>
  <si>
    <t>300/400</t>
  </si>
  <si>
    <t>900/1 000</t>
  </si>
  <si>
    <t>14/16</t>
  </si>
  <si>
    <t>50/60</t>
  </si>
  <si>
    <t>http://www.astro.ulg.ac.be/cours/magain/stat/stat52.html</t>
  </si>
  <si>
    <t>Saisissez votre nombre d'unité (encre rouge)Modifiez le poids unitaire (encre verte) s'il n'est pas excact</t>
  </si>
  <si>
    <t>Poids en Kg</t>
  </si>
  <si>
    <t>POIDS DES FRUITS ET LÉGUMES  …décembre 2017 annule et remplace les versions précédentes</t>
  </si>
  <si>
    <t>Aliment</t>
  </si>
  <si>
    <t>Mesure de capacité </t>
  </si>
  <si>
    <t xml:space="preserve">Mesures de capacité calculées à partir d’eau             </t>
  </si>
  <si>
    <t>Poids en grammes</t>
  </si>
  <si>
    <r>
      <t xml:space="preserve">4.1. Poids et mesures </t>
    </r>
    <r>
      <rPr>
        <i/>
        <sz val="14"/>
        <rFont val="Arial"/>
        <family val="2"/>
      </rPr>
      <t>(A-C)</t>
    </r>
  </si>
  <si>
    <r>
      <t>Calcium </t>
    </r>
    <r>
      <rPr>
        <b/>
        <vertAlign val="superscript"/>
        <sz val="12"/>
        <rFont val="Calibri"/>
        <family val="2"/>
        <scheme val="minor"/>
      </rPr>
      <t>7</t>
    </r>
  </si>
  <si>
    <r>
      <t>350/400 </t>
    </r>
    <r>
      <rPr>
        <b/>
        <vertAlign val="superscript"/>
        <sz val="12"/>
        <rFont val="Calibri"/>
        <family val="2"/>
        <scheme val="minor"/>
      </rPr>
      <t>1</t>
    </r>
  </si>
  <si>
    <r>
      <t>5/9 </t>
    </r>
    <r>
      <rPr>
        <b/>
        <vertAlign val="superscript"/>
        <sz val="12"/>
        <rFont val="Calibri"/>
        <family val="2"/>
        <scheme val="minor"/>
      </rPr>
      <t>2</t>
    </r>
  </si>
  <si>
    <r>
      <t>440/550 </t>
    </r>
    <r>
      <rPr>
        <b/>
        <vertAlign val="superscript"/>
        <sz val="12"/>
        <rFont val="Calibri"/>
        <family val="2"/>
        <scheme val="minor"/>
      </rPr>
      <t>3</t>
    </r>
  </si>
  <si>
    <r>
      <t>75/100 </t>
    </r>
    <r>
      <rPr>
        <b/>
        <vertAlign val="superscript"/>
        <sz val="12"/>
        <rFont val="Calibri"/>
        <family val="2"/>
        <scheme val="minor"/>
      </rPr>
      <t>4</t>
    </r>
  </si>
  <si>
    <r>
      <t>550/600 </t>
    </r>
    <r>
      <rPr>
        <b/>
        <vertAlign val="superscript"/>
        <sz val="12"/>
        <rFont val="Calibri"/>
        <family val="2"/>
        <scheme val="minor"/>
      </rPr>
      <t>5</t>
    </r>
  </si>
  <si>
    <r>
      <t>75/85 </t>
    </r>
    <r>
      <rPr>
        <b/>
        <vertAlign val="superscript"/>
        <sz val="12"/>
        <rFont val="Calibri"/>
        <family val="2"/>
        <scheme val="minor"/>
      </rPr>
      <t>4</t>
    </r>
  </si>
  <si>
    <r>
      <t>65/75 </t>
    </r>
    <r>
      <rPr>
        <b/>
        <vertAlign val="superscript"/>
        <sz val="12"/>
        <rFont val="Calibri"/>
        <family val="2"/>
        <scheme val="minor"/>
      </rPr>
      <t>4</t>
    </r>
  </si>
  <si>
    <r>
      <t>Allaitant </t>
    </r>
    <r>
      <rPr>
        <b/>
        <vertAlign val="superscript"/>
        <sz val="12"/>
        <rFont val="Calibri"/>
        <family val="2"/>
        <scheme val="minor"/>
      </rPr>
      <t>6</t>
    </r>
    <r>
      <rPr>
        <b/>
        <sz val="12"/>
        <rFont val="Calibri"/>
        <family val="2"/>
        <scheme val="minor"/>
      </rPr>
      <t xml:space="preserve"> </t>
    </r>
  </si>
  <si>
    <r>
      <t>Nota :</t>
    </r>
    <r>
      <rPr>
        <sz val="12"/>
        <color theme="1"/>
        <rFont val="Calibri"/>
        <family val="2"/>
        <scheme val="minor"/>
      </rPr>
      <t xml:space="preserve"> Pour les filles : </t>
    </r>
    <r>
      <rPr>
        <b/>
        <sz val="12"/>
        <rFont val="Calibri"/>
        <family val="2"/>
        <scheme val="minor"/>
      </rPr>
      <t>(1)</t>
    </r>
    <r>
      <rPr>
        <sz val="12"/>
        <color theme="1"/>
        <rFont val="Calibri"/>
        <family val="2"/>
        <scheme val="minor"/>
      </rPr>
      <t xml:space="preserve"> 330/350, </t>
    </r>
    <r>
      <rPr>
        <b/>
        <sz val="12"/>
        <rFont val="Calibri"/>
        <family val="2"/>
        <scheme val="minor"/>
      </rPr>
      <t>(2)</t>
    </r>
    <r>
      <rPr>
        <sz val="12"/>
        <color theme="1"/>
        <rFont val="Calibri"/>
        <family val="2"/>
        <scheme val="minor"/>
      </rPr>
      <t xml:space="preserve"> 80/85, </t>
    </r>
    <r>
      <rPr>
        <b/>
        <sz val="12"/>
        <rFont val="Calibri"/>
        <family val="2"/>
        <scheme val="minor"/>
      </rPr>
      <t>(3)</t>
    </r>
    <r>
      <rPr>
        <sz val="12"/>
        <color theme="1"/>
        <rFont val="Calibri"/>
        <family val="2"/>
        <scheme val="minor"/>
      </rPr>
      <t xml:space="preserve"> 400/500, </t>
    </r>
    <r>
      <rPr>
        <b/>
        <sz val="12"/>
        <rFont val="Calibri"/>
        <family val="2"/>
        <scheme val="minor"/>
      </rPr>
      <t>(4)</t>
    </r>
    <r>
      <rPr>
        <sz val="12"/>
        <color theme="1"/>
        <rFont val="Calibri"/>
        <family val="2"/>
        <scheme val="minor"/>
      </rPr>
      <t xml:space="preserve"> 85-90, </t>
    </r>
    <r>
      <rPr>
        <b/>
        <sz val="12"/>
        <rFont val="Calibri"/>
        <family val="2"/>
        <scheme val="minor"/>
      </rPr>
      <t>(5)</t>
    </r>
    <r>
      <rPr>
        <sz val="12"/>
        <color theme="1"/>
        <rFont val="Calibri"/>
        <family val="2"/>
        <scheme val="minor"/>
      </rPr>
      <t xml:space="preserve"> 500/550. </t>
    </r>
    <r>
      <rPr>
        <b/>
        <sz val="12"/>
        <rFont val="Calibri"/>
        <family val="2"/>
        <scheme val="minor"/>
      </rPr>
      <t>(6)</t>
    </r>
    <r>
      <rPr>
        <sz val="12"/>
        <color theme="1"/>
        <rFont val="Calibri"/>
        <family val="2"/>
        <scheme val="minor"/>
      </rPr>
      <t xml:space="preserve"> Vie sédentaire ou légère activité. </t>
    </r>
    <r>
      <rPr>
        <b/>
        <sz val="12"/>
        <rFont val="Calibri"/>
        <family val="2"/>
        <scheme val="minor"/>
      </rPr>
      <t>(7)</t>
    </r>
    <r>
      <rPr>
        <sz val="12"/>
        <color theme="1"/>
        <rFont val="Calibri"/>
        <family val="2"/>
        <scheme val="minor"/>
      </rPr>
      <t> Contenu surtout dans le fromage et le lait.</t>
    </r>
  </si>
  <si>
    <r>
      <t xml:space="preserve">Fruits : </t>
    </r>
    <r>
      <rPr>
        <sz val="14"/>
        <color theme="1"/>
        <rFont val="Calibri"/>
        <family val="2"/>
        <scheme val="minor"/>
      </rPr>
      <t xml:space="preserve">abricot 55, banane 150, citron 125, datte 10, figue sèche 42, figue fraîche 45, mandarine 100, noix 13, orange 180, pamplemousse 400, pêche 130, poire 180, pomme 120, pruneau 15. </t>
    </r>
    <r>
      <rPr>
        <b/>
        <sz val="10"/>
        <rFont val="Arial"/>
        <family val="2"/>
      </rPr>
      <t/>
    </r>
  </si>
  <si>
    <r>
      <t xml:space="preserve">Biscuit sec : </t>
    </r>
    <r>
      <rPr>
        <sz val="14"/>
        <color theme="1"/>
        <rFont val="Calibri"/>
        <family val="2"/>
        <scheme val="minor"/>
      </rPr>
      <t xml:space="preserve">10. </t>
    </r>
    <r>
      <rPr>
        <b/>
        <sz val="14"/>
        <rFont val="Calibri"/>
        <family val="2"/>
        <scheme val="minor"/>
      </rPr>
      <t xml:space="preserve">Biscotte : </t>
    </r>
    <r>
      <rPr>
        <sz val="14"/>
        <color theme="1"/>
        <rFont val="Calibri"/>
        <family val="2"/>
        <scheme val="minor"/>
      </rPr>
      <t xml:space="preserve">18. </t>
    </r>
    <r>
      <rPr>
        <b/>
        <sz val="14"/>
        <rFont val="Calibri"/>
        <family val="2"/>
        <scheme val="minor"/>
      </rPr>
      <t xml:space="preserve">Croissant : </t>
    </r>
    <r>
      <rPr>
        <sz val="14"/>
        <color theme="1"/>
        <rFont val="Calibri"/>
        <family val="2"/>
        <scheme val="minor"/>
      </rPr>
      <t xml:space="preserve">50. </t>
    </r>
    <r>
      <rPr>
        <b/>
        <sz val="10"/>
        <rFont val="Arial"/>
        <family val="2"/>
      </rPr>
      <t/>
    </r>
  </si>
  <si>
    <r>
      <t xml:space="preserve"> </t>
    </r>
    <r>
      <rPr>
        <b/>
        <sz val="14"/>
        <rFont val="Calibri"/>
        <family val="2"/>
        <scheme val="minor"/>
      </rPr>
      <t xml:space="preserve">Crustacés (entiers) : </t>
    </r>
    <r>
      <rPr>
        <sz val="14"/>
        <color theme="1"/>
        <rFont val="Calibri"/>
        <family val="2"/>
        <scheme val="minor"/>
      </rPr>
      <t xml:space="preserve">écrevisse 34, homard 885. </t>
    </r>
    <r>
      <rPr>
        <b/>
        <sz val="10"/>
        <rFont val="Arial"/>
        <family val="2"/>
      </rPr>
      <t/>
    </r>
  </si>
  <si>
    <r>
      <t xml:space="preserve"> </t>
    </r>
    <r>
      <rPr>
        <b/>
        <sz val="14"/>
        <rFont val="Calibri"/>
        <family val="2"/>
        <scheme val="minor"/>
      </rPr>
      <t xml:space="preserve">Fromages : </t>
    </r>
    <r>
      <rPr>
        <sz val="14"/>
        <color theme="1"/>
        <rFont val="Calibri"/>
        <family val="2"/>
        <scheme val="minor"/>
      </rPr>
      <t xml:space="preserve">camembert 250, livarot 500, pont-l'évêque 320, petit-suisse 25-30, yaourt (petit pot) 120-150. </t>
    </r>
    <r>
      <rPr>
        <b/>
        <sz val="10"/>
        <rFont val="Arial"/>
        <family val="2"/>
      </rPr>
      <t/>
    </r>
  </si>
  <si>
    <r>
      <t xml:space="preserve"> </t>
    </r>
    <r>
      <rPr>
        <b/>
        <sz val="14"/>
        <rFont val="Calibri"/>
        <family val="2"/>
        <scheme val="minor"/>
      </rPr>
      <t xml:space="preserve">Légumes : </t>
    </r>
    <r>
      <rPr>
        <sz val="14"/>
        <color theme="1"/>
        <rFont val="Calibri"/>
        <family val="2"/>
        <scheme val="minor"/>
      </rPr>
      <t xml:space="preserve">artichaut 250, aubergine 225, chou 1 000, chou-fleur 1 200, laitue 500, romaine 400, chicorée frisée 400, melon 700-1 000, radis (la botte) 350, tomate 100, oignon 125. </t>
    </r>
    <r>
      <rPr>
        <b/>
        <sz val="10"/>
        <rFont val="Arial"/>
        <family val="2"/>
      </rPr>
      <t/>
    </r>
  </si>
  <si>
    <r>
      <t xml:space="preserve"> </t>
    </r>
    <r>
      <rPr>
        <b/>
        <sz val="14"/>
        <rFont val="Calibri"/>
        <family val="2"/>
        <scheme val="minor"/>
      </rPr>
      <t xml:space="preserve">Poissons (entiers) : </t>
    </r>
    <r>
      <rPr>
        <sz val="14"/>
        <color theme="1"/>
        <rFont val="Calibri"/>
        <family val="2"/>
        <scheme val="minor"/>
      </rPr>
      <t xml:space="preserve">brochet 1 250, carpe 775, colin 2 000, daurade 600, églefin 350, hareng 170, saur 130, limande 150, maquereau 250, merlan 230, plie 160, sardine 45, truite 450, turbot 2 350. </t>
    </r>
    <r>
      <rPr>
        <b/>
        <sz val="10"/>
        <rFont val="Arial"/>
        <family val="2"/>
      </rPr>
      <t/>
    </r>
  </si>
  <si>
    <r>
      <t xml:space="preserve">Sucre </t>
    </r>
    <r>
      <rPr>
        <sz val="14"/>
        <color theme="1"/>
        <rFont val="Calibri"/>
        <family val="2"/>
        <scheme val="minor"/>
      </rPr>
      <t>(morceau) : 6.</t>
    </r>
  </si>
  <si>
    <r>
      <t xml:space="preserve">Viandes : </t>
    </r>
    <r>
      <rPr>
        <sz val="14"/>
        <color theme="1"/>
        <rFont val="Calibri"/>
        <family val="2"/>
        <scheme val="minor"/>
      </rPr>
      <t xml:space="preserve">lapin (vidé) 1 500 ; oie (entière) 5 500 ; poulet (entier) 1 800. </t>
    </r>
    <r>
      <rPr>
        <i/>
        <sz val="14"/>
        <rFont val="Calibri"/>
        <family val="2"/>
        <scheme val="minor"/>
      </rPr>
      <t xml:space="preserve">Cervelle : </t>
    </r>
    <r>
      <rPr>
        <sz val="14"/>
        <color theme="1"/>
        <rFont val="Calibri"/>
        <family val="2"/>
        <scheme val="minor"/>
      </rPr>
      <t>bœuf 500, veau 300, mouton 100, porc 110.</t>
    </r>
  </si>
  <si>
    <r>
      <t xml:space="preserve">Cœur : </t>
    </r>
    <r>
      <rPr>
        <sz val="14"/>
        <color theme="1"/>
        <rFont val="Calibri"/>
        <family val="2"/>
        <scheme val="minor"/>
      </rPr>
      <t xml:space="preserve">bœuf 2 750, veau 500, mouton 230, porc 225. </t>
    </r>
    <r>
      <rPr>
        <i/>
        <sz val="14"/>
        <rFont val="Calibri"/>
        <family val="2"/>
        <scheme val="minor"/>
      </rPr>
      <t xml:space="preserve">Foie : </t>
    </r>
    <r>
      <rPr>
        <sz val="14"/>
        <color theme="1"/>
        <rFont val="Calibri"/>
        <family val="2"/>
        <scheme val="minor"/>
      </rPr>
      <t xml:space="preserve">bœuf 8 500, veau 2 500, porc 750. </t>
    </r>
    <r>
      <rPr>
        <i/>
        <sz val="10"/>
        <rFont val="Arial"/>
        <family val="2"/>
      </rPr>
      <t/>
    </r>
  </si>
  <si>
    <r>
      <t xml:space="preserve"> </t>
    </r>
    <r>
      <rPr>
        <i/>
        <sz val="14"/>
        <rFont val="Calibri"/>
        <family val="2"/>
        <scheme val="minor"/>
      </rPr>
      <t xml:space="preserve">Langue : </t>
    </r>
    <r>
      <rPr>
        <sz val="14"/>
        <color theme="1"/>
        <rFont val="Calibri"/>
        <family val="2"/>
        <scheme val="minor"/>
      </rPr>
      <t xml:space="preserve">bœuf 4 000, veau 1 000. </t>
    </r>
    <r>
      <rPr>
        <i/>
        <sz val="14"/>
        <rFont val="Calibri"/>
        <family val="2"/>
        <scheme val="minor"/>
      </rPr>
      <t xml:space="preserve">Pied </t>
    </r>
    <r>
      <rPr>
        <sz val="14"/>
        <color theme="1"/>
        <rFont val="Calibri"/>
        <family val="2"/>
        <scheme val="minor"/>
      </rPr>
      <t xml:space="preserve">de porc 200. </t>
    </r>
    <r>
      <rPr>
        <i/>
        <sz val="14"/>
        <rFont val="Calibri"/>
        <family val="2"/>
        <scheme val="minor"/>
      </rPr>
      <t xml:space="preserve">Ris </t>
    </r>
    <r>
      <rPr>
        <sz val="14"/>
        <color theme="1"/>
        <rFont val="Calibri"/>
        <family val="2"/>
        <scheme val="minor"/>
      </rPr>
      <t xml:space="preserve">de veau 750. </t>
    </r>
    <r>
      <rPr>
        <i/>
        <sz val="14"/>
        <rFont val="Calibri"/>
        <family val="2"/>
        <scheme val="minor"/>
      </rPr>
      <t xml:space="preserve">Rognon : </t>
    </r>
    <r>
      <rPr>
        <sz val="14"/>
        <color theme="1"/>
        <rFont val="Calibri"/>
        <family val="2"/>
        <scheme val="minor"/>
      </rPr>
      <t>bœuf 1 000, veau 250, porc 170.</t>
    </r>
  </si>
  <si>
    <r>
      <t xml:space="preserve">100 g d'aliments crus. </t>
    </r>
    <r>
      <rPr>
        <b/>
        <sz val="14"/>
        <rFont val="Calibri"/>
        <family val="2"/>
        <scheme val="minor"/>
      </rPr>
      <t xml:space="preserve">Farineux : </t>
    </r>
    <r>
      <rPr>
        <sz val="14"/>
        <color theme="1"/>
        <rFont val="Calibri"/>
        <family val="2"/>
        <scheme val="minor"/>
      </rPr>
      <t xml:space="preserve">coquillettes 385, macaronis 400, nouilles 385, riz 295, spaghettis 385. </t>
    </r>
    <r>
      <rPr>
        <b/>
        <sz val="10"/>
        <rFont val="Arial"/>
        <family val="2"/>
      </rPr>
      <t/>
    </r>
  </si>
  <si>
    <r>
      <t>100 g d'aliments crus.</t>
    </r>
    <r>
      <rPr>
        <sz val="14"/>
        <color theme="1"/>
        <rFont val="Calibri"/>
        <family val="2"/>
        <scheme val="minor"/>
      </rPr>
      <t xml:space="preserve"> </t>
    </r>
    <r>
      <rPr>
        <b/>
        <sz val="14"/>
        <rFont val="Calibri"/>
        <family val="2"/>
        <scheme val="minor"/>
      </rPr>
      <t xml:space="preserve">Légumes frais : </t>
    </r>
    <r>
      <rPr>
        <sz val="14"/>
        <color theme="1"/>
        <rFont val="Calibri"/>
        <family val="2"/>
        <scheme val="minor"/>
      </rPr>
      <t xml:space="preserve">artichauts 87, asperges 87, bettes 90, betteraves rouges à l'eau 91, au four 57, carottes à l'eau 100, à l'étouffée 64, </t>
    </r>
  </si>
  <si>
    <r>
      <t>100 g d'aliments crus. l</t>
    </r>
    <r>
      <rPr>
        <b/>
        <sz val="14"/>
        <rFont val="Calibri"/>
        <family val="2"/>
        <scheme val="minor"/>
      </rPr>
      <t xml:space="preserve">égumes frais : </t>
    </r>
    <r>
      <rPr>
        <sz val="14"/>
        <color theme="1"/>
        <rFont val="Calibri"/>
        <family val="2"/>
        <scheme val="minor"/>
      </rPr>
      <t xml:space="preserve">, céleris (côtes) 94, raves cuites à l'eau 91, sautées 54, champignons de couche frits 83, </t>
    </r>
  </si>
  <si>
    <r>
      <t>100 g d'aliments crus. l</t>
    </r>
    <r>
      <rPr>
        <b/>
        <sz val="14"/>
        <rFont val="Calibri"/>
        <family val="2"/>
        <scheme val="minor"/>
      </rPr>
      <t xml:space="preserve">égumes frais : </t>
    </r>
    <r>
      <rPr>
        <sz val="14"/>
        <color theme="1"/>
        <rFont val="Calibri"/>
        <family val="2"/>
        <scheme val="minor"/>
      </rPr>
      <t xml:space="preserve"> chou vert, cuit à l'eau 92, à l'étouffée 64, de Bruxelles 86, -fleur 92, </t>
    </r>
  </si>
  <si>
    <r>
      <t>100 g d'aliments crus. l</t>
    </r>
    <r>
      <rPr>
        <b/>
        <sz val="14"/>
        <rFont val="Calibri"/>
        <family val="2"/>
        <scheme val="minor"/>
      </rPr>
      <t>égumes frais :</t>
    </r>
    <r>
      <rPr>
        <sz val="14"/>
        <color theme="1"/>
        <rFont val="Calibri"/>
        <family val="2"/>
        <scheme val="minor"/>
      </rPr>
      <t xml:space="preserve"> épinards cuits à l'eau ou au jus 83, haricots verts cuits à l'eau 104, à l'étouffée 90, navets, cuits à l'eau 95, à l'étouffée 92,</t>
    </r>
  </si>
  <si>
    <r>
      <t>100 g d'aliments crus. l</t>
    </r>
    <r>
      <rPr>
        <b/>
        <sz val="14"/>
        <rFont val="Calibri"/>
        <family val="2"/>
        <scheme val="minor"/>
      </rPr>
      <t>égumes frais :</t>
    </r>
    <r>
      <rPr>
        <sz val="14"/>
        <color theme="1"/>
        <rFont val="Calibri"/>
        <family val="2"/>
        <scheme val="minor"/>
      </rPr>
      <t xml:space="preserve"> poireaux 81, p. de terre en robe des champs 98, à l'anglaise 95, au four 80, en purée 119, en ragoût 154, frites 44 </t>
    </r>
    <r>
      <rPr>
        <vertAlign val="superscript"/>
        <sz val="14"/>
        <rFont val="Calibri"/>
        <family val="2"/>
        <scheme val="minor"/>
      </rPr>
      <t>1</t>
    </r>
    <r>
      <rPr>
        <sz val="14"/>
        <color theme="1"/>
        <rFont val="Calibri"/>
        <family val="2"/>
        <scheme val="minor"/>
      </rPr>
      <t xml:space="preserve">, </t>
    </r>
  </si>
  <si>
    <r>
      <t>100 g d'aliments crus. l</t>
    </r>
    <r>
      <rPr>
        <b/>
        <sz val="14"/>
        <rFont val="Calibri"/>
        <family val="2"/>
        <scheme val="minor"/>
      </rPr>
      <t>égumes frais :</t>
    </r>
    <r>
      <rPr>
        <sz val="14"/>
        <color theme="1"/>
        <rFont val="Calibri"/>
        <family val="2"/>
        <scheme val="minor"/>
      </rPr>
      <t xml:space="preserve"> , potiron 55, scarole 71, tomates frites 69. </t>
    </r>
    <r>
      <rPr>
        <b/>
        <sz val="14"/>
        <rFont val="Calibri"/>
        <family val="2"/>
        <scheme val="minor"/>
      </rPr>
      <t xml:space="preserve">Légumes secs : </t>
    </r>
    <r>
      <rPr>
        <sz val="14"/>
        <color theme="1"/>
        <rFont val="Calibri"/>
        <family val="2"/>
        <scheme val="minor"/>
      </rPr>
      <t>fèves 310, haricots 270,</t>
    </r>
  </si>
  <si>
    <r>
      <t>100 g d'aliments crus. l</t>
    </r>
    <r>
      <rPr>
        <b/>
        <sz val="14"/>
        <rFont val="Calibri"/>
        <family val="2"/>
        <scheme val="minor"/>
      </rPr>
      <t>égumes frais :</t>
    </r>
    <r>
      <rPr>
        <sz val="14"/>
        <color theme="1"/>
        <rFont val="Calibri"/>
        <family val="2"/>
        <scheme val="minor"/>
      </rPr>
      <t xml:space="preserve"> ,, pois cassés 400. </t>
    </r>
    <r>
      <rPr>
        <b/>
        <sz val="10"/>
        <rFont val="Arial"/>
        <family val="2"/>
      </rPr>
      <t/>
    </r>
  </si>
  <si>
    <r>
      <t>100 g d'aliments crus. l</t>
    </r>
    <r>
      <rPr>
        <sz val="14"/>
        <color theme="1"/>
        <rFont val="Calibri"/>
        <family val="2"/>
        <scheme val="minor"/>
      </rPr>
      <t xml:space="preserve"> </t>
    </r>
    <r>
      <rPr>
        <b/>
        <sz val="14"/>
        <rFont val="Calibri"/>
        <family val="2"/>
        <scheme val="minor"/>
      </rPr>
      <t xml:space="preserve">Poissons : </t>
    </r>
    <r>
      <rPr>
        <sz val="14"/>
        <color theme="1"/>
        <rFont val="Calibri"/>
        <family val="2"/>
        <scheme val="minor"/>
      </rPr>
      <t xml:space="preserve">au court-bouillon 95, frits 81. </t>
    </r>
    <r>
      <rPr>
        <i/>
        <sz val="14"/>
        <rFont val="Calibri"/>
        <family val="2"/>
        <scheme val="minor"/>
      </rPr>
      <t xml:space="preserve">Crevettes : </t>
    </r>
    <r>
      <rPr>
        <sz val="14"/>
        <color theme="1"/>
        <rFont val="Calibri"/>
        <family val="2"/>
        <scheme val="minor"/>
      </rPr>
      <t xml:space="preserve">97. </t>
    </r>
    <r>
      <rPr>
        <b/>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</si>
  <si>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i/>
        <sz val="14"/>
        <rFont val="Calibri"/>
        <family val="2"/>
        <scheme val="minor"/>
      </rPr>
      <t xml:space="preserve">bœuf : </t>
    </r>
    <r>
      <rPr>
        <sz val="14"/>
        <color theme="1"/>
        <rFont val="Calibri"/>
        <family val="2"/>
        <scheme val="minor"/>
      </rPr>
      <t xml:space="preserve">bifteck grillé 88, au gril 83, au plat 88, rôti (1/2 h) 77, bouilli 83.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</si>
  <si>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Veau : </t>
    </r>
    <r>
      <rPr>
        <sz val="14"/>
        <color theme="1"/>
        <rFont val="Calibri"/>
        <family val="2"/>
        <scheme val="minor"/>
      </rPr>
      <t xml:space="preserve">à la poêle 93, rôti (3/4 d'h) 74. </t>
    </r>
    <r>
      <rPr>
        <i/>
        <sz val="14"/>
        <rFont val="Calibri"/>
        <family val="2"/>
        <scheme val="minor"/>
      </rPr>
      <t xml:space="preserve">Mouton : </t>
    </r>
    <r>
      <rPr>
        <sz val="14"/>
        <color theme="1"/>
        <rFont val="Calibri"/>
        <family val="2"/>
        <scheme val="minor"/>
      </rPr>
      <t xml:space="preserve">rôti 73, sauté 69. </t>
    </r>
    <r>
      <rPr>
        <i/>
        <sz val="10"/>
        <rFont val="Arial"/>
        <family val="2"/>
      </rPr>
      <t/>
    </r>
  </si>
  <si>
    <r>
      <t xml:space="preserve">100 g d'aliments crus. </t>
    </r>
    <r>
      <rPr>
        <sz val="14"/>
        <color theme="1"/>
        <rFont val="Calibri"/>
        <family val="2"/>
        <scheme val="minor"/>
      </rPr>
      <t xml:space="preserve"> </t>
    </r>
    <r>
      <rPr>
        <b/>
        <sz val="14"/>
        <rFont val="Calibri"/>
        <family val="2"/>
        <scheme val="minor"/>
      </rPr>
      <t xml:space="preserve">Viandes : </t>
    </r>
    <r>
      <rPr>
        <sz val="14"/>
        <color theme="1"/>
        <rFont val="Calibri"/>
        <family val="2"/>
        <scheme val="minor"/>
      </rPr>
      <t xml:space="preserve"> </t>
    </r>
    <r>
      <rPr>
        <i/>
        <sz val="14"/>
        <rFont val="Calibri"/>
        <family val="2"/>
        <scheme val="minor"/>
      </rPr>
      <t xml:space="preserve">Porc : </t>
    </r>
    <r>
      <rPr>
        <sz val="14"/>
        <color theme="1"/>
        <rFont val="Calibri"/>
        <family val="2"/>
        <scheme val="minor"/>
      </rPr>
      <t xml:space="preserve">côtelette 83, rôti 64. </t>
    </r>
    <r>
      <rPr>
        <i/>
        <sz val="14"/>
        <rFont val="Calibri"/>
        <family val="2"/>
        <scheme val="minor"/>
      </rPr>
      <t xml:space="preserve">Cheval : </t>
    </r>
    <r>
      <rPr>
        <sz val="14"/>
        <color theme="1"/>
        <rFont val="Calibri"/>
        <family val="2"/>
        <scheme val="minor"/>
      </rPr>
      <t xml:space="preserve">bifteck à la poêle 93. </t>
    </r>
    <r>
      <rPr>
        <i/>
        <sz val="14"/>
        <rFont val="Calibri"/>
        <family val="2"/>
        <scheme val="minor"/>
      </rPr>
      <t xml:space="preserve">Foie : </t>
    </r>
    <r>
      <rPr>
        <sz val="14"/>
        <color theme="1"/>
        <rFont val="Calibri"/>
        <family val="2"/>
        <scheme val="minor"/>
      </rPr>
      <t xml:space="preserve">91. </t>
    </r>
    <r>
      <rPr>
        <i/>
        <sz val="14"/>
        <rFont val="Calibri"/>
        <family val="2"/>
        <scheme val="minor"/>
      </rPr>
      <t xml:space="preserve">Boudin : </t>
    </r>
    <r>
      <rPr>
        <sz val="14"/>
        <color theme="1"/>
        <rFont val="Calibri"/>
        <family val="2"/>
        <scheme val="minor"/>
      </rPr>
      <t xml:space="preserve">94. </t>
    </r>
    <r>
      <rPr>
        <i/>
        <sz val="14"/>
        <rFont val="Calibri"/>
        <family val="2"/>
        <scheme val="minor"/>
      </rPr>
      <t xml:space="preserve">Saucisse fraîche : </t>
    </r>
    <r>
      <rPr>
        <sz val="14"/>
        <color theme="1"/>
        <rFont val="Calibri"/>
        <family val="2"/>
        <scheme val="minor"/>
      </rPr>
      <t>92.</t>
    </r>
  </si>
  <si>
    <r>
      <t> 4</t>
    </r>
    <r>
      <rPr>
        <b/>
        <vertAlign val="superscript"/>
        <sz val="12"/>
        <rFont val="Calibri"/>
        <family val="2"/>
        <scheme val="minor"/>
      </rPr>
      <t>e</t>
    </r>
    <r>
      <rPr>
        <b/>
        <sz val="12"/>
        <color theme="1"/>
        <rFont val="Calibri"/>
        <family val="2"/>
        <scheme val="minor"/>
      </rPr>
      <t xml:space="preserve"> et 3</t>
    </r>
    <r>
      <rPr>
        <b/>
        <vertAlign val="superscript"/>
        <sz val="12"/>
        <rFont val="Calibri"/>
        <family val="2"/>
        <scheme val="minor"/>
      </rPr>
      <t>e</t>
    </r>
    <r>
      <rPr>
        <b/>
        <sz val="12"/>
        <color theme="1"/>
        <rFont val="Calibri"/>
        <family val="2"/>
        <scheme val="minor"/>
      </rPr>
      <t> cat.</t>
    </r>
  </si>
  <si>
    <r>
      <t> 2</t>
    </r>
    <r>
      <rPr>
        <b/>
        <vertAlign val="superscript"/>
        <sz val="12"/>
        <rFont val="Calibri"/>
        <family val="2"/>
        <scheme val="minor"/>
      </rPr>
      <t>e</t>
    </r>
    <r>
      <rPr>
        <b/>
        <sz val="12"/>
        <color theme="1"/>
        <rFont val="Calibri"/>
        <family val="2"/>
        <scheme val="minor"/>
      </rPr>
      <t xml:space="preserve"> et 1</t>
    </r>
    <r>
      <rPr>
        <b/>
        <vertAlign val="superscript"/>
        <sz val="12"/>
        <rFont val="Calibri"/>
        <family val="2"/>
        <scheme val="minor"/>
      </rPr>
      <t>re</t>
    </r>
    <r>
      <rPr>
        <b/>
        <sz val="12"/>
        <color theme="1"/>
        <rFont val="Calibri"/>
        <family val="2"/>
        <scheme val="minor"/>
      </rPr>
      <t> cat.</t>
    </r>
  </si>
  <si>
    <r>
      <t>Enceintes (5</t>
    </r>
    <r>
      <rPr>
        <b/>
        <vertAlign val="superscript"/>
        <sz val="12"/>
        <rFont val="Calibri"/>
        <family val="2"/>
        <scheme val="minor"/>
      </rPr>
      <t>e</t>
    </r>
    <r>
      <rPr>
        <b/>
        <sz val="12"/>
        <color theme="1"/>
        <rFont val="Calibri"/>
        <family val="2"/>
        <scheme val="minor"/>
      </rPr>
      <t>-9</t>
    </r>
    <r>
      <rPr>
        <b/>
        <vertAlign val="superscript"/>
        <sz val="12"/>
        <rFont val="Calibri"/>
        <family val="2"/>
        <scheme val="minor"/>
      </rPr>
      <t>e</t>
    </r>
    <r>
      <rPr>
        <b/>
        <sz val="12"/>
        <color theme="1"/>
        <rFont val="Calibri"/>
        <family val="2"/>
        <scheme val="minor"/>
      </rPr>
      <t> mois) </t>
    </r>
    <r>
      <rPr>
        <b/>
        <vertAlign val="superscript"/>
        <sz val="12"/>
        <rFont val="Calibri"/>
        <family val="2"/>
        <scheme val="minor"/>
      </rPr>
      <t>6</t>
    </r>
  </si>
  <si>
    <r>
      <t>Vieillards</t>
    </r>
    <r>
      <rPr>
        <sz val="14"/>
        <color theme="1"/>
        <rFont val="Calibri"/>
        <family val="2"/>
        <scheme val="minor"/>
      </rPr>
      <t> </t>
    </r>
    <r>
      <rPr>
        <b/>
        <vertAlign val="superscript"/>
        <sz val="14"/>
        <rFont val="Calibri"/>
        <family val="2"/>
        <scheme val="minor"/>
      </rPr>
      <t>6</t>
    </r>
    <r>
      <rPr>
        <b/>
        <sz val="14"/>
        <rFont val="Calibri"/>
        <family val="2"/>
        <scheme val="minor"/>
      </rPr>
      <t xml:space="preserve"> </t>
    </r>
  </si>
  <si>
    <t>40/94</t>
  </si>
  <si>
    <r>
      <t>Nota :</t>
    </r>
    <r>
      <rPr>
        <b/>
        <sz val="12"/>
        <color theme="1"/>
        <rFont val="Calibri"/>
        <family val="2"/>
        <scheme val="minor"/>
      </rPr>
      <t> (1) En cuisant, les pommes frites absorbent 8 à 10 % de matières grasses.</t>
    </r>
  </si>
  <si>
    <t>Verre à bière, rempli normalement 250 et 330</t>
  </si>
  <si>
    <t>Transmettez vos savoirs faires peut importe qui les récupèrent pourvu qu'ils servent à un plus grand nombre</t>
  </si>
  <si>
    <t>Bonne utilisation et… à chacun d'améliorer et d'adapter ces documents.  J Leboucher</t>
  </si>
  <si>
    <t>rapportez tout au Kg = 0,400 Kg de viande</t>
  </si>
  <si>
    <t>FORMATS POUR LES FICHES AU Kg</t>
  </si>
  <si>
    <t>lien : une portion c'est combien   sur la nutrition.fr</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</si>
  <si>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</si>
  <si>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</si>
  <si>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</si>
  <si>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</si>
  <si>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</si>
  <si>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</si>
  <si>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Pour reproduire la police de caractère vous pouvez utiliser le pinceau</t>
  </si>
  <si>
    <t>Aa</t>
  </si>
  <si>
    <t>Majuscules</t>
  </si>
  <si>
    <t>correspondance</t>
  </si>
  <si>
    <t>Minuscules</t>
  </si>
  <si>
    <t>Chiffres</t>
  </si>
  <si>
    <t>nombres</t>
  </si>
  <si>
    <t>a</t>
  </si>
  <si>
    <t>formats personnalisés</t>
  </si>
  <si>
    <t>TEST POLICE DE CARACTERES</t>
  </si>
  <si>
    <t>b</t>
  </si>
  <si>
    <t>0.00\ " cm³"</t>
  </si>
  <si>
    <t>Dans caractères spéciaux =&gt; symboles =&gt; Nombres et symboles. Là tu descends (tu as d'abord une série de nombre entourés, puis des nombres sous fractions, ...) et enfin tu as deux lignes de 0 à 9 écrit petit, ceux sont eux, les exposants et les indices.</t>
  </si>
  <si>
    <t>Saisir une ou des lettres / nombres ou une phrase cellule C jaune</t>
  </si>
  <si>
    <t>c</t>
  </si>
  <si>
    <t>le ³ se fait en tapant alt+0179</t>
  </si>
  <si>
    <t>Saisir ICI</t>
  </si>
  <si>
    <t>d</t>
  </si>
  <si>
    <t>le ² se fait en tapant alt+0178</t>
  </si>
  <si>
    <t>Sélectionnez toute les cellules  ci-dessous et changez de police de caractère pour voir</t>
  </si>
  <si>
    <t>e</t>
  </si>
  <si>
    <t>ou en copier-coller</t>
  </si>
  <si>
    <t xml:space="preserve">m² </t>
  </si>
  <si>
    <t xml:space="preserve">M² </t>
  </si>
  <si>
    <t>m³ </t>
  </si>
  <si>
    <t>M³ </t>
  </si>
  <si>
    <t xml:space="preserve">cm² </t>
  </si>
  <si>
    <t>cm³ </t>
  </si>
  <si>
    <t>f</t>
  </si>
  <si>
    <t>Format | cellule | personnalisé | 0" m²"</t>
  </si>
  <si>
    <t>X</t>
  </si>
  <si>
    <t>t</t>
  </si>
  <si>
    <t>g</t>
  </si>
  <si>
    <t>Z</t>
  </si>
  <si>
    <t>q</t>
  </si>
  <si>
    <t>H</t>
  </si>
  <si>
    <t>h</t>
  </si>
  <si>
    <t>u</t>
  </si>
  <si>
    <t>p</t>
  </si>
  <si>
    <t>i</t>
  </si>
  <si>
    <t>Fonction : Adresse colonne</t>
  </si>
  <si>
    <t>j</t>
  </si>
  <si>
    <t>k</t>
  </si>
  <si>
    <t>l</t>
  </si>
  <si>
    <t>Numérotation Format : Images pour compléter parce que les Symboles sont limités au N° 20</t>
  </si>
  <si>
    <t>m</t>
  </si>
  <si>
    <t>n</t>
  </si>
  <si>
    <t>o</t>
  </si>
  <si>
    <t>Q</t>
  </si>
  <si>
    <t>r</t>
  </si>
  <si>
    <t>s</t>
  </si>
  <si>
    <t>U</t>
  </si>
  <si>
    <t>v</t>
  </si>
  <si>
    <t>W</t>
  </si>
  <si>
    <t>w</t>
  </si>
  <si>
    <t>x</t>
  </si>
  <si>
    <t xml:space="preserve">Sélection de polices pour l'école </t>
  </si>
  <si>
    <t>Y</t>
  </si>
  <si>
    <t>y</t>
  </si>
  <si>
    <t>https://pragmatice.net/kitinstit/3_installer_produire_polices_selection.htm</t>
  </si>
  <si>
    <t>z</t>
  </si>
  <si>
    <t>http://www.philing.net/</t>
  </si>
  <si>
    <t>&amp;</t>
  </si>
  <si>
    <t>£</t>
  </si>
  <si>
    <t>;</t>
  </si>
  <si>
    <t>é</t>
  </si>
  <si>
    <t>#</t>
  </si>
  <si>
    <t>:</t>
  </si>
  <si>
    <t>Petites leçons de Typographie</t>
  </si>
  <si>
    <t>è</t>
  </si>
  <si>
    <t>(</t>
  </si>
  <si>
    <t>!</t>
  </si>
  <si>
    <t>-</t>
  </si>
  <si>
    <t>http://jacques-andre.fr/faqtypo/lessons.pdf</t>
  </si>
  <si>
    <t>ù</t>
  </si>
  <si>
    <t>)</t>
  </si>
  <si>
    <t>ç</t>
  </si>
  <si>
    <t>[</t>
  </si>
  <si>
    <t>&gt;</t>
  </si>
  <si>
    <t>~</t>
  </si>
  <si>
    <t>Document à télécharger</t>
  </si>
  <si>
    <t>à</t>
  </si>
  <si>
    <t>]</t>
  </si>
  <si>
    <t>&lt;</t>
  </si>
  <si>
    <t>"</t>
  </si>
  <si>
    <t xml:space="preserve">Mémo caractères spéciaux sous Windows </t>
  </si>
  <si>
    <t>µ</t>
  </si>
  <si>
    <t>{</t>
  </si>
  <si>
    <t>\</t>
  </si>
  <si>
    <t>*</t>
  </si>
  <si>
    <t>§</t>
  </si>
  <si>
    <t>}</t>
  </si>
  <si>
    <t>/</t>
  </si>
  <si>
    <t>Polices de Caractères à Télécharger</t>
  </si>
  <si>
    <t>|</t>
  </si>
  <si>
    <t>_</t>
  </si>
  <si>
    <t>http://fr.fontriver.com/</t>
  </si>
  <si>
    <t>http://fr.fonts2u.com/category.html?id=21</t>
  </si>
  <si>
    <t>Police Wending 3</t>
  </si>
  <si>
    <t>Police Webdings</t>
  </si>
  <si>
    <t xml:space="preserve">Retrouver une police utilisée - TechTour : Démo </t>
  </si>
  <si>
    <t>https://www.youtube.com/watch?v=wMgBzUHzKvM</t>
  </si>
  <si>
    <t>Police ZDingbats</t>
  </si>
  <si>
    <t>Police Marlett</t>
  </si>
  <si>
    <t>Police MT Extra</t>
  </si>
  <si>
    <t>Police Symbol</t>
  </si>
  <si>
    <t>Copiez / collez le symbole sur votre document ou faites un imprim'écran</t>
  </si>
  <si>
    <t>ff-documents-apprentis-Patissiers.xlsx</t>
  </si>
  <si>
    <t>ff-Croquis.xlsx</t>
  </si>
  <si>
    <t>ff-qualiterecettes2007.xls</t>
  </si>
  <si>
    <t>ff-tableau-cuisson.pdf</t>
  </si>
  <si>
    <t>pour combien de Kg voulez vous dupliquer cette recette</t>
  </si>
  <si>
    <t>❺ POIDS A SAISIR EN Gr</t>
  </si>
  <si>
    <t>❻ Lien internet</t>
  </si>
  <si>
    <t>❼  %  Perte pour toute la recette</t>
  </si>
  <si>
    <t>❽ % Perte par produit</t>
  </si>
  <si>
    <t>❾ Poids</t>
  </si>
  <si>
    <t>❿  votre choix =</t>
  </si>
  <si>
    <t>❿ Edition au choix : 1=Recette de l'Auteur  /2=1 moins pertes / 3=Net à servir</t>
  </si>
  <si>
    <t>MODE D'EMPLOI</t>
  </si>
  <si>
    <t>Voici quelques photos pour aider à estimer les quantités</t>
  </si>
  <si>
    <t>Lien &gt;</t>
  </si>
  <si>
    <t>Visuellement, ça représente quoi 100 calories ?</t>
  </si>
  <si>
    <t>https://www.excel-downloads.com/resources/</t>
  </si>
  <si>
    <t>⓫  aide à la décision</t>
  </si>
  <si>
    <t>&lt; ❼  %  Perte pour toute la recette</t>
  </si>
  <si>
    <t>N° de cellules</t>
  </si>
  <si>
    <t xml:space="preserve">         serait le poids à saisir en  ❾</t>
  </si>
  <si>
    <t>vous voudriez faire combien de portions  ? &gt;</t>
  </si>
  <si>
    <t>poids de votre portion &gt;</t>
  </si>
  <si>
    <t xml:space="preserve"> L'Auteur à prévu sa recette pour combien de portions &gt;</t>
  </si>
  <si>
    <t>vous voudirez dupliquer cette recette pour combien de portions &gt;</t>
  </si>
  <si>
    <t>⓫     aide à la décision au poids ou à la portion</t>
  </si>
  <si>
    <t xml:space="preserve">ou </t>
  </si>
  <si>
    <t>N° de colonnes</t>
  </si>
  <si>
    <t xml:space="preserve"> colonne AC - FACULTATIF saisissez vos % de pertes - lisez le mode d'emploi colonne AK les cellules sont formatées pour ajouter %</t>
  </si>
  <si>
    <t>vous voudriez dupliquer cette recette pour combien de portions &gt;</t>
  </si>
  <si>
    <t>toutes les cellules d'aide à la décision vous affichent des indications de poids soit à mettre en œuvre soit à servir</t>
  </si>
  <si>
    <t>vous avez également en bas du premier tableau une autre aide à la décision (colonnes A à  H )</t>
  </si>
  <si>
    <t>les Auteurs proposent des recettes pour un nombre de couverts différents.  Il est plus facile de comprendre et d'interpréter la recette d'un Auteur rapportée à 1Kg = 1000g</t>
  </si>
  <si>
    <t>❾ quel Poids voulez vous fabriquer</t>
  </si>
  <si>
    <t>&lt;   &lt;   &lt;poids de votre portion &gt;</t>
  </si>
  <si>
    <t>&lt;  &lt;  vous voudriez faire combien de portions  ?</t>
  </si>
  <si>
    <t>pour localiser la cellule correspondante cliquez sur l'onglet FORMULES</t>
  </si>
  <si>
    <t>double cliquez sur la pointe de la flèche, cela vous enverra directement à l'emplacement de saisie</t>
  </si>
  <si>
    <t>SAISISSEZ VOS % DE PERTES</t>
  </si>
  <si>
    <t>NE PAS IMPRIMER CES TABLEAUX RÉSERVÉS A LA SAISIE</t>
  </si>
  <si>
    <t>&lt; vous pouvez supprimer cette ligne si elle n'est pas utile</t>
  </si>
  <si>
    <t>N° DE LIGNES</t>
  </si>
  <si>
    <t xml:space="preserve">  Poids à saisir  en  ❾ &gt;   &gt; </t>
  </si>
  <si>
    <t>a saisir</t>
  </si>
  <si>
    <t>poids qu'il faudrait saisir en  ❾  pour obtenir le résultat souhaité</t>
  </si>
  <si>
    <t xml:space="preserve">les valeurs #DIV/0!  indiquent seulement que des cellules sont vides sur la feuille de saisie </t>
  </si>
  <si>
    <t xml:space="preserve"> vous pouvez masquer cette valeur par une couleur de police BLANC</t>
  </si>
  <si>
    <t>puis sur la fonction Repérer les antécédants &gt;</t>
  </si>
  <si>
    <t xml:space="preserve">vous avez des localisations de cellules pour vous repérer colonne &gt; </t>
  </si>
  <si>
    <t>❾ Poids à saisir</t>
  </si>
  <si>
    <t>Modèle en ligne  au POIDS   affichage en GRAMME   - seulement 2 tableaux à imprimer de A à O - à droite vous avez 1 tableau de saisie de Q à U et une colonne Z pour saisir les % de pertes (facultatif)</t>
  </si>
  <si>
    <r>
      <rPr>
        <sz val="12"/>
        <color indexed="10"/>
        <rFont val="Times New Roman"/>
        <family val="1"/>
      </rPr>
      <t xml:space="preserve">1855 OLIDA </t>
    </r>
    <r>
      <rPr>
        <sz val="12"/>
        <color indexed="56"/>
        <rFont val="Bookman Old Style"/>
        <family val="1"/>
      </rPr>
      <t>11 rue Drouot Paris. Monsieur Ernest OLIDA ouvre un petit magasin gastronomique dans le cadre élégant du Palais Royal</t>
    </r>
  </si>
  <si>
    <t xml:space="preserve">Fiche de fabrication  :  OLIDA   </t>
  </si>
  <si>
    <t>Boutique 11 Rue Drouot  PARIS</t>
  </si>
  <si>
    <t>recette  1936</t>
  </si>
  <si>
    <t>Désignation de l' article  :  Boudin blanc  au madére "très bonne qualité "</t>
  </si>
  <si>
    <t>Fabrication :</t>
  </si>
  <si>
    <t>Compositon</t>
  </si>
  <si>
    <t>Base</t>
  </si>
  <si>
    <t>Résiduel</t>
  </si>
  <si>
    <t xml:space="preserve">Mêlée </t>
  </si>
  <si>
    <t>Prix</t>
  </si>
  <si>
    <t>Somme</t>
  </si>
  <si>
    <t>Maigre de volaille</t>
  </si>
  <si>
    <t>Poitrine de porc extra</t>
  </si>
  <si>
    <t>Gorge parée</t>
  </si>
  <si>
    <t>Lait entier 60°C ( aromatisé)</t>
  </si>
  <si>
    <t>Sel fin</t>
  </si>
  <si>
    <t>Poivre blanc</t>
  </si>
  <si>
    <t>4 épices</t>
  </si>
  <si>
    <t>Madére</t>
  </si>
  <si>
    <t xml:space="preserve">Eau de fleurs d' oranger </t>
  </si>
  <si>
    <t>Méthode de travail</t>
  </si>
  <si>
    <t xml:space="preserve">Faire bouillir le lait et y mettre à cuire les légumes ( oignons,thym,clous de girofle, carottes, persil ,baton de vanille). </t>
  </si>
  <si>
    <t>Tous ces éléments sont retirés lorsque le lait s' est bien imprégné de leurs principes arômatiques.</t>
  </si>
  <si>
    <t>Ensuite, dans la cutter tournant à grande vitesse, l' incorporation des composants s' effectue dans l' ordre suivant</t>
  </si>
  <si>
    <t>Maigre de volaille et poitrine hachés ensemble à la plaque fine, sel et épices, œufs entiers, le travail se termine par</t>
  </si>
  <si>
    <t>l' introduction progressive du lait maintenu aux environs de 60°C et madére</t>
  </si>
  <si>
    <r>
      <t>Embossage   :</t>
    </r>
    <r>
      <rPr>
        <sz val="12"/>
        <color indexed="12"/>
        <rFont val="Bookman Old Style"/>
        <family val="1"/>
      </rPr>
      <t xml:space="preserve">  menu de porc calibre 32/34,  poids de poussage : 110 grs piéce</t>
    </r>
  </si>
  <si>
    <t>clayette</t>
  </si>
  <si>
    <t xml:space="preserve">Cuisson  : </t>
  </si>
  <si>
    <t>Tp eau</t>
  </si>
  <si>
    <t>82°c</t>
  </si>
  <si>
    <t>20 mn</t>
  </si>
  <si>
    <r>
      <t>Refroidissement :</t>
    </r>
    <r>
      <rPr>
        <sz val="12"/>
        <color indexed="12"/>
        <rFont val="Bookman Old Style"/>
        <family val="1"/>
      </rPr>
      <t xml:space="preserve">   dans un bac ( Eau + glace  )</t>
    </r>
  </si>
  <si>
    <t>Quelques conseils culinaires</t>
  </si>
  <si>
    <t>Au four</t>
  </si>
  <si>
    <t xml:space="preserve">  bac de cuisson</t>
  </si>
  <si>
    <t>*  Piquer les boudins sur toute leur surface , afin qu' ils n' éclatent pas</t>
  </si>
  <si>
    <t>*  Enduire d' une fine pellicule de beurre des feuilles de papier aluminium et y envelopper les boudins.</t>
  </si>
  <si>
    <t>*   Pour les servir, les extraire du papier et les glisser sur le plat très chaud.</t>
  </si>
  <si>
    <t>Variante original</t>
  </si>
  <si>
    <t>*  Réchauffer les boudins dans de l' eau légèrement salée et maintenue à 40-50°C;</t>
  </si>
  <si>
    <t>*  Puis les faire rissoler doucement dans la poêle avec du beurre ou une autre matière grasse.</t>
  </si>
  <si>
    <t>*   Pour les servir,  les glisser sur le plat de service réchauffé.</t>
  </si>
  <si>
    <t>Boutique 11 Rue Drouot PARIS</t>
  </si>
  <si>
    <t>Désignation de l' article  :  Boudin blanc  au porto"très bonne qualité "</t>
  </si>
  <si>
    <t>Maigre de veau</t>
  </si>
  <si>
    <t>Maigre de volaille, maigre de veau hachés ensemble à la plaque fine, sel et épices, œufs entiers le travail se termine par</t>
  </si>
  <si>
    <t>l' introduction progressive du lait maintenu aux environs de 60°C et porto</t>
  </si>
  <si>
    <t>Désignation de l' article  :  Boudin blanc  au kirch  "très bonne qualité "</t>
  </si>
  <si>
    <t>Maigre de porc (jambon)</t>
  </si>
  <si>
    <t>Kirch</t>
  </si>
  <si>
    <t>Maigre de vollaille et maigre de veau hachés ensemble à la plaque fine, sel et épices, œufs entiers, le travail se termine par</t>
  </si>
  <si>
    <t>l' introduction progressive du lait maintenu aux environs de 60°C et l' alcools</t>
  </si>
  <si>
    <r>
      <rPr>
        <sz val="11"/>
        <color indexed="60"/>
        <rFont val="Times New Roman"/>
        <family val="1"/>
      </rPr>
      <t>OLIDA</t>
    </r>
    <r>
      <rPr>
        <sz val="11"/>
        <color indexed="56"/>
        <rFont val="Bookman Old Style"/>
        <family val="1"/>
      </rPr>
      <t>. Un art de vivre à la Française, c'est un parfum de gastronomie , de notoriété, un parfum qui évoque la qualité des produits et la confiance</t>
    </r>
  </si>
  <si>
    <t>Désignation de l' article  :  Boudin blanc  orange cointreau  "très bonne qualité "</t>
  </si>
  <si>
    <t>Maigre  de jambon</t>
  </si>
  <si>
    <t>Orange cointreau</t>
  </si>
  <si>
    <t>Maigre de volaille et maigre de jambon  hachés ensemble à la plaque fine, sel et épices, œufs entiers, le travail se termine par</t>
  </si>
  <si>
    <t>Désignation de l' article  :  Boudin blanc aux cêpes et au  rhum "très bonne qualité "</t>
  </si>
  <si>
    <t>Maigre de jambon</t>
  </si>
  <si>
    <t>Sel  fin</t>
  </si>
  <si>
    <t>Rhum</t>
  </si>
  <si>
    <t>Poudre de cêpes</t>
  </si>
  <si>
    <t>Maigre de volaille et maigre de jambon hachés ensemble à la plaque fine, sel et épices, œufs entiers, le travail se termine par</t>
  </si>
  <si>
    <t>Désignation de l' article  :  Boudin blanc au coganc "très bonne qualité "</t>
  </si>
  <si>
    <t>Cognac</t>
  </si>
  <si>
    <t>Maigre de volaille  et poitrine hachés ensemble à la plaque fine, sel et épices, œufs entiers, le travail se termine par</t>
  </si>
  <si>
    <t>Désignation de l' article  :  Boudin blanc  truffé  "très bonne qualité "</t>
  </si>
  <si>
    <t>Truffes</t>
  </si>
  <si>
    <t>Maigre de volaille et maigre de veau hachés ensemble à la plaque fine, sel et épices, œufs entiers, le travail se termine par</t>
  </si>
  <si>
    <t>l' introduction progressive du lait maintenu aux environs de 60°C, madére et truffes</t>
  </si>
  <si>
    <r>
      <rPr>
        <sz val="14"/>
        <color indexed="10"/>
        <rFont val="Times New Roman"/>
        <family val="1"/>
      </rPr>
      <t>OLIDA Levallois 1892/ 1984</t>
    </r>
    <r>
      <rPr>
        <sz val="14"/>
        <color indexed="56"/>
        <rFont val="Times New Roman"/>
        <family val="1"/>
      </rPr>
      <t xml:space="preserve"> </t>
    </r>
    <r>
      <rPr>
        <sz val="10"/>
        <color indexed="56"/>
        <rFont val="Times New Roman"/>
        <family val="1"/>
      </rPr>
      <t xml:space="preserve"> Mr Michel MARIETTE 1958/1984</t>
    </r>
  </si>
  <si>
    <t>Pages et documents de Michel MARIETTE</t>
  </si>
  <si>
    <t>j'ai sauvegardé ces documents sur la nouvelle version d'Excel .xlsx</t>
  </si>
  <si>
    <t>pour que tout ce travail ne disparaisse pas mais puisse se transmettre</t>
  </si>
  <si>
    <t>les documents d'origine sont en .xls  à cette adresse :</t>
  </si>
  <si>
    <t>Le blog de la charcuterie - salaison de Michel Mariette</t>
  </si>
  <si>
    <t>contact :</t>
  </si>
  <si>
    <t>http://michelmariette.over-blog.fr/contact</t>
  </si>
  <si>
    <t>GPAO SALAISON jambon cuit -</t>
  </si>
  <si>
    <t>http://michelmariette.over-blog.fr/page/2</t>
  </si>
  <si>
    <t>http://michelmariette.over-blog.fr/article-gpao-de-la-salaison-40710259.html</t>
  </si>
  <si>
    <t>1990 OLIDA Illkirsch-Graffenstaden. Monsieur Michel Mariette Chef de fabrication</t>
  </si>
  <si>
    <t>Jus d'orange</t>
  </si>
  <si>
    <t>N°2</t>
  </si>
  <si>
    <t>&lt;poids de votre portion en Gr</t>
  </si>
  <si>
    <t>poids de votre portion en Kg</t>
  </si>
  <si>
    <t>❺ POIDS A SAISIR EN Kg</t>
  </si>
  <si>
    <t>&lt; vous voudriez faire combien de portions  ?</t>
  </si>
  <si>
    <t>Fiche de fabrication  :  OLIDA   recette  1936</t>
  </si>
  <si>
    <t>adaptation du documents de Michel MARIETTE</t>
  </si>
  <si>
    <t>http://michelmariette.over-blog.fr/</t>
  </si>
  <si>
    <t>Embossage   :  menu de porc calibre 32/34,  poids de poussage : 110 grs piéce</t>
  </si>
  <si>
    <t>Refroidissement :   dans un bac ( Eau + glace  )</t>
  </si>
  <si>
    <t>&lt; poids d' 1 boudin blanc</t>
  </si>
  <si>
    <t>nombre de portions prévues par l'Auteur &gt;</t>
  </si>
  <si>
    <t>N° de cellule</t>
  </si>
  <si>
    <t>CET AIDE MÉMOIRE  REGROUPE DES RECETTES DE LA FAMILLE BOUDINS BLANCS de Michel Mariette</t>
  </si>
  <si>
    <t>&lt; poids de votre portion en Kg</t>
  </si>
  <si>
    <t>avec la recette de l'Auteur vous pourriez faire : Nb de portions &gt;</t>
  </si>
  <si>
    <t>POUR LES FICHES RECETTES A LA PORTION</t>
  </si>
  <si>
    <t>&lt; poids de votre portion</t>
  </si>
  <si>
    <t>Poids à saisir en  ❾</t>
  </si>
  <si>
    <t>&lt;  L'Auteur à prévu sa recette pour combien de portions</t>
  </si>
  <si>
    <t>&lt; vous voudriez dupliquer cette recette pour combien de portions</t>
  </si>
  <si>
    <t xml:space="preserve">⓫  vous avez également en bas du premier tableau une autre aide à la décision </t>
  </si>
  <si>
    <t>Nb de portions que vous pourriez faire avec le poids de l'Auteur</t>
  </si>
  <si>
    <t>portion NET</t>
  </si>
  <si>
    <t>❾ Recette</t>
  </si>
  <si>
    <t>&lt; Poids portion</t>
  </si>
  <si>
    <t>saisir</t>
  </si>
  <si>
    <t>portion BRUT</t>
  </si>
  <si>
    <t>1 = RECETTE DE L'AUTEUR AVEC VOTRE EFFECTIF</t>
  </si>
  <si>
    <t xml:space="preserve">&lt;poids de votre portion en Gr </t>
  </si>
  <si>
    <t xml:space="preserve">saisissez en  ❾ &gt; </t>
  </si>
  <si>
    <t xml:space="preserve">Poids brut demandé pour </t>
  </si>
  <si>
    <t>Poids brut demandé pour</t>
  </si>
  <si>
    <t>Poids NET demandé pour</t>
  </si>
  <si>
    <t>❾ combien de portions voulez vous faire</t>
  </si>
  <si>
    <t>❹ Ingrédients  et quantités utilisées par l'Auteur  /  poids portion&gt;</t>
  </si>
  <si>
    <t>bouquet</t>
  </si>
  <si>
    <t>avec le poids BRUT de la recette vous pourriez faire : Nb de portions &gt;</t>
  </si>
  <si>
    <t>❼ Combien de Kg voulez vous faire</t>
  </si>
  <si>
    <t>LA</t>
  </si>
  <si>
    <t>DUPLICATION</t>
  </si>
  <si>
    <t>version D du 01-12-2017- Annule et remplace les versions précédentes</t>
  </si>
  <si>
    <t>❻ saisissez le lien internet de la recette ou de l'Auteur</t>
  </si>
  <si>
    <t>POIDS de la recette : ne saisissez rien</t>
  </si>
  <si>
    <t>ne saisissez que le nombre les cellules sont formatées pour ajouter gr</t>
  </si>
  <si>
    <t>❹ LES POIDS A SAISIR SONT EN Gr</t>
  </si>
  <si>
    <t>ne saisissez que le nombre les cellules sont formatées pour ajouter mn</t>
  </si>
  <si>
    <t xml:space="preserve">ajoutez les infos suivantes (facultatif) : temps de </t>
  </si>
  <si>
    <t>http://www.lecochonetleboeuf.fr/modules/photo/dossier/boudin_blanc/boudin_blanc.pdf</t>
  </si>
  <si>
    <t>Exemple : le glaçage au porto est un constituant de la recette PRESSÉ DE L'ANTOINE (qui est la recette mère)</t>
  </si>
  <si>
    <t>en charcuterie traiteur met à votre disposition des vidéos...des recettes et bien plus.</t>
  </si>
  <si>
    <t>clous</t>
  </si>
  <si>
    <t xml:space="preserve"> à l´origine formateur dans un centre de formation d´apprentis (CFA) </t>
  </si>
  <si>
    <t xml:space="preserve">Bien souvent les recettes de gateaux ou de charcuteries sont composées de plusieurs "sous recettes" pour constituer la recette principale </t>
  </si>
  <si>
    <t>Patrick GEORGIN Administrateur et créateur du site</t>
  </si>
  <si>
    <t>❸  Constituant de quelle recette (facultatif)</t>
  </si>
  <si>
    <t xml:space="preserve">❷ AUTEUR de la recette </t>
  </si>
  <si>
    <t>Inscrivez-vous...c'est gratuit. C’est une façon de dire MERCI à Patrick.</t>
  </si>
  <si>
    <t>Exemple : Glaçage au Porto pour "bouchée" de boudin noir</t>
  </si>
  <si>
    <t>le COCHON et le BOEUF  </t>
  </si>
  <si>
    <t>❶ NOM de la recette a saisir et N°</t>
  </si>
  <si>
    <t>Un site à redécouvrir :</t>
  </si>
  <si>
    <t>RECETTE AU POIDS</t>
  </si>
  <si>
    <t xml:space="preserve">Mode d'emploi </t>
  </si>
  <si>
    <t>CHARCUTERIE</t>
  </si>
  <si>
    <t>Ingrédients  et quantités utilisées par l'Auteur</t>
  </si>
  <si>
    <t>pour 1 Kg</t>
  </si>
  <si>
    <t>❸ POIDS A SAISIR EN Gr</t>
  </si>
  <si>
    <t>pour :</t>
  </si>
  <si>
    <t>Pour en Gr</t>
  </si>
  <si>
    <t>❼ Recette</t>
  </si>
  <si>
    <t>ces 3 colonnes ont été ajoutées pour information</t>
  </si>
  <si>
    <t>A VOTRE DISPOSITION CETTE FICHE VIERGE…MODE D'EMPLOI CELLULE :</t>
  </si>
  <si>
    <t>Maigre de 1° et 2° choix (gorge-poitrine) 70%</t>
  </si>
  <si>
    <t>Gras dur (gorge-bardière) 30%</t>
  </si>
  <si>
    <t>ETC…...</t>
  </si>
  <si>
    <t>Patrick GEORGIN Administrateur et créateur du site le COCHON et le BOEUF  </t>
  </si>
  <si>
    <t>BOUDIN BLANC</t>
  </si>
  <si>
    <t>http://www.lecochonetleboeuf.fr/accueil.html</t>
  </si>
  <si>
    <t>Madame..Monsieur….Bonjour</t>
  </si>
  <si>
    <t>Je vous présente une fiche en 3 tableaux</t>
  </si>
  <si>
    <t>la recette s'affiche sur ce premier tableau à imprimer</t>
  </si>
  <si>
    <t>votre mode de progression sur le second tableau</t>
  </si>
  <si>
    <t>la saisie des données sur le 3° tableau</t>
  </si>
  <si>
    <t xml:space="preserve">Modèle  au POIDS  avec une colonne AB pour les % de pertes (facultatif) - affichage en Kg pour collectivités   - 2 tableaux à imprimer de A à Q - 1 tableau de saisie de S à W </t>
  </si>
  <si>
    <t>lien &gt;</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</si>
  <si>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</si>
  <si>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</si>
  <si>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Tables des caractères Unicode - Alphanumériques cerclés</t>
  </si>
  <si>
    <t>caractères  Alphanumériques cerclés</t>
  </si>
  <si>
    <t>http://unicode.org/</t>
  </si>
  <si>
    <t>visualiseur d'Emoji et de symboles</t>
  </si>
  <si>
    <t>PT-bonnes-pratiques.doc   </t>
  </si>
  <si>
    <t>Banque d'images pour agrémenter vos documents</t>
  </si>
  <si>
    <t>Convertir des temps</t>
  </si>
  <si>
    <t>Heures</t>
  </si>
  <si>
    <t>Minutes</t>
  </si>
  <si>
    <t>Centièmes</t>
  </si>
  <si>
    <t xml:space="preserve">Quantités nettes à prévoir : Mater Prim Adul Adul +  </t>
  </si>
  <si>
    <t>Décriptage d'une recette par les pourcentages</t>
  </si>
  <si>
    <t>Pourcentages</t>
  </si>
  <si>
    <t>POIDS DE LA RECETTE A DÉCRYPTER</t>
  </si>
  <si>
    <t>Sucre de cannes</t>
  </si>
  <si>
    <t>Jus de pamplemousse</t>
  </si>
  <si>
    <t>Citron vert</t>
  </si>
  <si>
    <t>RÉFLEXION SUR DES MODÈLE DE RÉPERTOIRES</t>
  </si>
  <si>
    <t>Asperges</t>
  </si>
  <si>
    <t>Betteraves</t>
  </si>
  <si>
    <t>Champignons</t>
  </si>
  <si>
    <t>DATE :</t>
  </si>
  <si>
    <t xml:space="preserve">GEM/RCN   POUR FICHES TECHNIQUES </t>
  </si>
  <si>
    <t>FICHE :</t>
  </si>
  <si>
    <t xml:space="preserve">PRODUITS  prêts à consommer  en Kg ou à la pièce </t>
  </si>
  <si>
    <t>M.  Maternelle    Enfants en maternelle</t>
  </si>
  <si>
    <t>P.   Primaire  Enfants en classe élémentaire</t>
  </si>
  <si>
    <t>A .  Ado/Adult   Adolescents,adultes,personnes agées si portage à domicile</t>
  </si>
  <si>
    <t>PAM.   Personnes Agées en institution déjeuner Midi</t>
  </si>
  <si>
    <t>PAS.   Personnes Agées en institution diner Soir</t>
  </si>
  <si>
    <t>Adultes + = GEM/RCN grammages (Adolescents - Adultes) + %</t>
  </si>
  <si>
    <t>RECOMMANDATIONS RELATIVES A LA NUTRTION (N°J5-07DU 4 MAI 2007) approuvé par décision n° 2007-17 du comité exécutif de l'OEAP</t>
  </si>
  <si>
    <t>A +</t>
  </si>
  <si>
    <t>PAM</t>
  </si>
  <si>
    <t>PAS</t>
  </si>
  <si>
    <t>% A+</t>
  </si>
  <si>
    <t>PAIN</t>
  </si>
  <si>
    <t>CRUDITÉS sans assaisonnement</t>
  </si>
  <si>
    <r>
      <t>Avocat (à l</t>
    </r>
    <r>
      <rPr>
        <b/>
        <vertAlign val="superscript"/>
        <sz val="12"/>
        <color indexed="17"/>
        <rFont val="Arial"/>
        <family val="2"/>
      </rPr>
      <t>'</t>
    </r>
    <r>
      <rPr>
        <b/>
        <sz val="12"/>
        <color indexed="17"/>
        <rFont val="Arial"/>
        <family val="2"/>
      </rPr>
      <t>unité)</t>
    </r>
  </si>
  <si>
    <t>Carottes, céleri et autres racines râpées</t>
  </si>
  <si>
    <t>Choux rouge et choux blanc émincé</t>
  </si>
  <si>
    <t>Endive</t>
  </si>
  <si>
    <t>Melon, Pastèque</t>
  </si>
  <si>
    <r>
      <t>Pamplemousse (à l</t>
    </r>
    <r>
      <rPr>
        <b/>
        <vertAlign val="superscript"/>
        <sz val="12"/>
        <color indexed="17"/>
        <rFont val="Arial"/>
        <family val="2"/>
      </rPr>
      <t>'</t>
    </r>
    <r>
      <rPr>
        <b/>
        <sz val="12"/>
        <color indexed="17"/>
        <rFont val="Arial"/>
        <family val="2"/>
      </rPr>
      <t>unité)</t>
    </r>
  </si>
  <si>
    <t>Salade verte</t>
  </si>
  <si>
    <t>Salade composée à base de crudités</t>
  </si>
  <si>
    <t>Champignons crus</t>
  </si>
  <si>
    <t>CUIDITES sans assaisonnement</t>
  </si>
  <si>
    <t>Potage à base de légumes (en litres/Kg)</t>
  </si>
  <si>
    <r>
      <t>Artichaut entier (à l</t>
    </r>
    <r>
      <rPr>
        <b/>
        <vertAlign val="superscript"/>
        <sz val="12"/>
        <color indexed="17"/>
        <rFont val="Arial"/>
        <family val="2"/>
      </rPr>
      <t>'</t>
    </r>
    <r>
      <rPr>
        <b/>
        <sz val="12"/>
        <color indexed="17"/>
        <rFont val="Arial"/>
        <family val="2"/>
      </rPr>
      <t>unité)</t>
    </r>
  </si>
  <si>
    <r>
      <t>Fond d</t>
    </r>
    <r>
      <rPr>
        <vertAlign val="superscript"/>
        <sz val="12"/>
        <rFont val="Arial"/>
        <family val="2"/>
      </rPr>
      <t>'</t>
    </r>
    <r>
      <rPr>
        <sz val="12"/>
        <rFont val="Arial"/>
        <family val="2"/>
      </rPr>
      <t>artichaut</t>
    </r>
  </si>
  <si>
    <t>Céleri</t>
  </si>
  <si>
    <t>Choux fleurs</t>
  </si>
  <si>
    <t>Cœurs de palmier</t>
  </si>
  <si>
    <t>Haricots verts</t>
  </si>
  <si>
    <t>Poireaux (blancs de poireaux)</t>
  </si>
  <si>
    <t>Salade composée à base de légumes cuits</t>
  </si>
  <si>
    <t>Soja (germes de haricots mungo)</t>
  </si>
  <si>
    <t>Terrine de légumes</t>
  </si>
  <si>
    <t xml:space="preserve">ENTRÉES DE FÉCULENT </t>
  </si>
  <si>
    <t>Salades composées à base de P. de T., blé, riz, semoule ou pâtes</t>
  </si>
  <si>
    <t>ENTREES PROTIDIQUES DIVERSES</t>
  </si>
  <si>
    <r>
      <t>Œuf dur (à l</t>
    </r>
    <r>
      <rPr>
        <b/>
        <vertAlign val="superscript"/>
        <sz val="12"/>
        <color indexed="17"/>
        <rFont val="Arial"/>
        <family val="2"/>
      </rPr>
      <t>'</t>
    </r>
    <r>
      <rPr>
        <b/>
        <sz val="12"/>
        <color indexed="17"/>
        <rFont val="Arial"/>
        <family val="2"/>
      </rPr>
      <t>unité)</t>
    </r>
  </si>
  <si>
    <t>Hareng/garniture</t>
  </si>
  <si>
    <t>Maquereau</t>
  </si>
  <si>
    <r>
      <t>Sardines (à l</t>
    </r>
    <r>
      <rPr>
        <b/>
        <vertAlign val="superscript"/>
        <sz val="12"/>
        <color indexed="17"/>
        <rFont val="Arial"/>
        <family val="2"/>
      </rPr>
      <t>'</t>
    </r>
    <r>
      <rPr>
        <b/>
        <sz val="12"/>
        <color indexed="17"/>
        <rFont val="Arial"/>
        <family val="2"/>
      </rPr>
      <t>unité) sauf exception mentionnée</t>
    </r>
  </si>
  <si>
    <t>Thon au naturel</t>
  </si>
  <si>
    <t>Jambon cru de pays</t>
  </si>
  <si>
    <t>Jambon blanc</t>
  </si>
  <si>
    <t>Pâté, terrine , mousse</t>
  </si>
  <si>
    <t>Pâté en croûte</t>
  </si>
  <si>
    <t>Rillettes</t>
  </si>
  <si>
    <t>Salami – Saucisson – Mortadelle</t>
  </si>
  <si>
    <t>PREPARATIONS PATISSIERES SALEES</t>
  </si>
  <si>
    <t>Nems</t>
  </si>
  <si>
    <t>Crêpes</t>
  </si>
  <si>
    <t>Friand, feuilleté</t>
  </si>
  <si>
    <t>Pizza</t>
  </si>
  <si>
    <t>Tarte salée</t>
  </si>
  <si>
    <r>
      <t>ASSAISONNEMENT HORS D</t>
    </r>
    <r>
      <rPr>
        <b/>
        <vertAlign val="superscript"/>
        <sz val="12"/>
        <rFont val="Arial"/>
        <family val="2"/>
      </rPr>
      <t>'</t>
    </r>
    <r>
      <rPr>
        <b/>
        <sz val="12"/>
        <rFont val="Arial"/>
        <family val="2"/>
      </rPr>
      <t>OEUVRE(</t>
    </r>
    <r>
      <rPr>
        <sz val="12"/>
        <rFont val="Arial"/>
        <family val="2"/>
      </rPr>
      <t>poids</t>
    </r>
    <r>
      <rPr>
        <b/>
        <sz val="12"/>
        <rFont val="Arial"/>
        <family val="2"/>
      </rPr>
      <t xml:space="preserve"> </t>
    </r>
    <r>
      <rPr>
        <sz val="12"/>
        <rFont val="Arial"/>
        <family val="2"/>
      </rPr>
      <t>de la matière grasse)</t>
    </r>
  </si>
  <si>
    <t>VIANDES SANS SAUCE</t>
  </si>
  <si>
    <t>BŒUF</t>
  </si>
  <si>
    <t>Bœuf braisé, bœuf sauté, bouilli de bœuf</t>
  </si>
  <si>
    <t>Rôti de bœuf, steak</t>
  </si>
  <si>
    <t>Steak haché</t>
  </si>
  <si>
    <t>Hamburger</t>
  </si>
  <si>
    <r>
      <t>Boulettes de bœuf de 30g pièce crues (à l</t>
    </r>
    <r>
      <rPr>
        <vertAlign val="superscript"/>
        <sz val="12"/>
        <rFont val="Arial"/>
        <family val="2"/>
      </rPr>
      <t>'</t>
    </r>
    <r>
      <rPr>
        <sz val="12"/>
        <rFont val="Arial"/>
        <family val="2"/>
      </rPr>
      <t>unité)</t>
    </r>
  </si>
  <si>
    <t>Boulettes de bœuf de 30g pièce crues (au poids)</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</si>
  <si>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</si>
  <si>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</si>
  <si>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</si>
  <si>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</si>
  <si>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</si>
  <si>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</si>
  <si>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</si>
  <si>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</si>
  <si>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</si>
  <si>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</si>
  <si>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r>
      <t>Côte d</t>
    </r>
    <r>
      <rPr>
        <vertAlign val="superscript"/>
        <sz val="12"/>
        <rFont val="Arial"/>
        <family val="2"/>
      </rPr>
      <t>'</t>
    </r>
    <r>
      <rPr>
        <sz val="12"/>
        <rFont val="Arial"/>
        <family val="2"/>
      </rPr>
      <t>agneau avec os</t>
    </r>
  </si>
  <si>
    <r>
      <t>Boulettes d</t>
    </r>
    <r>
      <rPr>
        <vertAlign val="superscript"/>
        <sz val="12"/>
        <rFont val="Arial"/>
        <family val="2"/>
      </rPr>
      <t>'</t>
    </r>
    <r>
      <rPr>
        <sz val="12"/>
        <rFont val="Arial"/>
        <family val="2"/>
      </rPr>
      <t>agneau-mouton de 30g pièce crues (à l</t>
    </r>
    <r>
      <rPr>
        <vertAlign val="superscript"/>
        <sz val="12"/>
        <rFont val="Arial"/>
        <family val="2"/>
      </rPr>
      <t>'</t>
    </r>
    <r>
      <rPr>
        <sz val="12"/>
        <rFont val="Arial"/>
        <family val="2"/>
      </rPr>
      <t>unité )</t>
    </r>
  </si>
  <si>
    <r>
      <t>Boulettes d</t>
    </r>
    <r>
      <rPr>
        <vertAlign val="superscript"/>
        <sz val="12"/>
        <rFont val="Arial"/>
        <family val="2"/>
      </rPr>
      <t>'</t>
    </r>
    <r>
      <rPr>
        <sz val="12"/>
        <rFont val="Arial"/>
        <family val="2"/>
      </rPr>
      <t>agneau-mouton de 30g pièce crues (au Kg )</t>
    </r>
  </si>
  <si>
    <r>
      <t>Merguez de 50 g pièce crues (à l</t>
    </r>
    <r>
      <rPr>
        <vertAlign val="superscript"/>
        <sz val="12"/>
        <rFont val="Arial"/>
        <family val="2"/>
      </rPr>
      <t>'</t>
    </r>
    <r>
      <rPr>
        <sz val="12"/>
        <rFont val="Arial"/>
        <family val="2"/>
      </rPr>
      <t>unité)</t>
    </r>
  </si>
  <si>
    <t>Merguez de 50 g pièce crues (au Kg)</t>
  </si>
  <si>
    <t>PORC</t>
  </si>
  <si>
    <t>Rôti de porc, grillade (sans os)</t>
  </si>
  <si>
    <t>Côte de porc</t>
  </si>
  <si>
    <t>Jambon DD, palette de porc</t>
  </si>
  <si>
    <t>Andouillettes</t>
  </si>
  <si>
    <r>
      <t>Saucisse chipolatas de 50 g pièce crue ( à l</t>
    </r>
    <r>
      <rPr>
        <vertAlign val="superscript"/>
        <sz val="12"/>
        <rFont val="Arial"/>
        <family val="2"/>
      </rPr>
      <t>'</t>
    </r>
    <r>
      <rPr>
        <sz val="12"/>
        <rFont val="Arial"/>
        <family val="2"/>
      </rPr>
      <t>unité)</t>
    </r>
  </si>
  <si>
    <t>Saucisse chipolatas de 50 g pièce crue ( au Kg)</t>
  </si>
  <si>
    <r>
      <t>Saucisse de Francfort Strasbourg de 50 g pièce crue (à l</t>
    </r>
    <r>
      <rPr>
        <vertAlign val="superscript"/>
        <sz val="12"/>
        <rFont val="Arial"/>
        <family val="2"/>
      </rPr>
      <t>'</t>
    </r>
    <r>
      <rPr>
        <sz val="12"/>
        <rFont val="Arial"/>
        <family val="2"/>
      </rPr>
      <t>unité)</t>
    </r>
  </si>
  <si>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</si>
  <si>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</si>
  <si>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</si>
  <si>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</si>
  <si>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</si>
  <si>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</si>
  <si>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</si>
  <si>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</si>
  <si>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</si>
  <si>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</si>
  <si>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</si>
  <si>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</si>
  <si>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</si>
  <si>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</si>
  <si>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</si>
  <si>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r>
      <t>Saucisse de volaille de 50g pièce crue (à l</t>
    </r>
    <r>
      <rPr>
        <vertAlign val="superscript"/>
        <sz val="12"/>
        <rFont val="Arial"/>
        <family val="2"/>
      </rPr>
      <t>’</t>
    </r>
    <r>
      <rPr>
        <sz val="12"/>
        <rFont val="Arial"/>
        <family val="2"/>
      </rPr>
      <t>unité)</t>
    </r>
  </si>
  <si>
    <t>Saucisse de volaille de 50g pièce crue (Kg)</t>
  </si>
  <si>
    <t>ABATS</t>
  </si>
  <si>
    <t>Foie, langue, rognons, boudin</t>
  </si>
  <si>
    <t>Tripes avec sauce</t>
  </si>
  <si>
    <t>OEUFS (plat principal)</t>
  </si>
  <si>
    <r>
      <t>Œufs durs (à l</t>
    </r>
    <r>
      <rPr>
        <b/>
        <vertAlign val="superscript"/>
        <sz val="12"/>
        <rFont val="Arial"/>
        <family val="2"/>
      </rPr>
      <t>'</t>
    </r>
    <r>
      <rPr>
        <b/>
        <sz val="12"/>
        <rFont val="Arial"/>
        <family val="2"/>
      </rPr>
      <t>unité)</t>
    </r>
  </si>
  <si>
    <t>Omelette</t>
  </si>
  <si>
    <t>POISSONS (Sans sauce)</t>
  </si>
  <si>
    <t>Poissons non enrobés sans arêtes (filets, rôtis,
steaks, brochettes, cubes)</t>
  </si>
  <si>
    <t>Brochettes de poisson</t>
  </si>
  <si>
    <t>Darne</t>
  </si>
  <si>
    <t>Beignets, poissons panés ou enrobés (croquettes,
paupiettes,…)</t>
  </si>
  <si>
    <t>Poissons entiers</t>
  </si>
  <si>
    <r>
      <t xml:space="preserve">PLATS COMPOSES </t>
    </r>
    <r>
      <rPr>
        <sz val="12"/>
        <rFont val="Arial"/>
        <family val="2"/>
      </rPr>
      <t>(denrée protidique et garniture)</t>
    </r>
  </si>
  <si>
    <r>
      <t>Plat composé, choucroute, paëlla, etc. (poids minimum d</t>
    </r>
    <r>
      <rPr>
        <vertAlign val="superscript"/>
        <sz val="12"/>
        <rFont val="Arial"/>
        <family val="2"/>
      </rPr>
      <t>’</t>
    </r>
    <r>
      <rPr>
        <sz val="12"/>
        <rFont val="Arial"/>
        <family val="2"/>
      </rPr>
      <t>aliment protidique)</t>
    </r>
  </si>
  <si>
    <r>
      <t>Hachis Parmentier, Brandade, Légumes farcis (poids minimum d</t>
    </r>
    <r>
      <rPr>
        <vertAlign val="superscript"/>
        <sz val="12"/>
        <rFont val="Arial"/>
        <family val="2"/>
      </rPr>
      <t>’</t>
    </r>
    <r>
      <rPr>
        <sz val="12"/>
        <rFont val="Arial"/>
        <family val="2"/>
      </rPr>
      <t>aliment protidique)</t>
    </r>
  </si>
  <si>
    <t>Raviolis, Cannellonis, Lasagnes ... (poids ration avec sauce)</t>
  </si>
  <si>
    <t>Préparations pâtissières (crêpes, pizzas, croque- monsieur, friands, quiches)</t>
  </si>
  <si>
    <t>Quenelle</t>
  </si>
  <si>
    <t>LEGUMES CUITS</t>
  </si>
  <si>
    <t>FÉCULENTS CUITS</t>
  </si>
  <si>
    <t>Riz – Pâtes – Pommes de terre</t>
  </si>
  <si>
    <t>Purée de pomme de terre, fraiche ou reconstituée</t>
  </si>
  <si>
    <t>Légumes secs</t>
  </si>
  <si>
    <t xml:space="preserve">SAUCES POUR PLATS </t>
  </si>
  <si>
    <t>SAUCES POUR PLATS (mayonnaise, ketchup, etc.) Poids de la matière grasse</t>
  </si>
  <si>
    <t>SAUCES POUR PLATS (sauce tomate, béchamel)</t>
  </si>
  <si>
    <t>SAUCES POUR PLATS (jus de viande)</t>
  </si>
  <si>
    <t>SAUCES POUR PLATS (beurre blanc, sauce crème,sauce forestière)</t>
  </si>
  <si>
    <t>FROMAGES</t>
  </si>
  <si>
    <t>PRODUITS LAITIERS FRAIS</t>
  </si>
  <si>
    <t>Fromage blanc, fromages frais</t>
  </si>
  <si>
    <t>Petit suisse</t>
  </si>
  <si>
    <t>Lait demi-écrémé en ml des menus 4 composantes</t>
  </si>
  <si>
    <t>DESSERTS</t>
  </si>
  <si>
    <t>Desserts lactés</t>
  </si>
  <si>
    <t>Mousse (en Litre)</t>
  </si>
  <si>
    <t>Fruits crus</t>
  </si>
  <si>
    <t>Fruits cuits</t>
  </si>
  <si>
    <t>Pâtisseries fraiches ou surgelées en portions</t>
  </si>
  <si>
    <t>Pâtisseries fraiches ou surgelées à portionner</t>
  </si>
  <si>
    <t>Pâtisserie sèche emballée</t>
  </si>
  <si>
    <r>
      <t>Biscuits d</t>
    </r>
    <r>
      <rPr>
        <vertAlign val="superscript"/>
        <sz val="12"/>
        <rFont val="Arial"/>
        <family val="2"/>
      </rPr>
      <t>'</t>
    </r>
    <r>
      <rPr>
        <sz val="12"/>
        <rFont val="Arial"/>
        <family val="2"/>
      </rPr>
      <t>accompagnement</t>
    </r>
  </si>
  <si>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</si>
  <si>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</si>
  <si>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</si>
  <si>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</si>
  <si>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</si>
  <si>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</si>
  <si>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</si>
  <si>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</si>
  <si>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</si>
  <si>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</si>
  <si>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</si>
  <si>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UPRT : Union des Personnels de la Restauration Territoriale</t>
  </si>
  <si>
    <t>DAUBES ET ESTOUFFADES</t>
  </si>
  <si>
    <t>VIANDES EN SAUCES LONGUES (ragouts-estouffades-bourguignons etc…)                      Cuisine Centrale de Clamart 1993</t>
  </si>
  <si>
    <t>INFOS GLANÉES DANS DIFFÉRENTS OUVRAGES</t>
  </si>
  <si>
    <t>ORT organisation raisonnée du travail pour 3000 couverts</t>
  </si>
  <si>
    <t>d'origine provençale elles exigent la présence d'un morceau de zeste d'orange</t>
  </si>
  <si>
    <t>J moins 1</t>
  </si>
  <si>
    <t>faites en provision en faisant sécher des rubans de zestes prélevés sur des oranges non traitées</t>
  </si>
  <si>
    <t>préparer la garniture aromatique - faire rissoler les oignons à brun</t>
  </si>
  <si>
    <t>lorsque les morceaux de bœuf  à braiser ou mijoter proviennt de l'aloyau ou des cotes et sont donc persillées, vous aurez la certitude d'avoir une viande tendre et moelleuse sans qu'il soit nécessaire de la larder,</t>
  </si>
  <si>
    <t>conditionner les légumes en filets -a jeter après cuisson dans un sac séparé</t>
  </si>
  <si>
    <t>d'autres morceaux provenant de la cuisse ou du paleron; excellents mais un peu secs, ont besoin d'^etre préalablement lardés, pour être "nourris" en éléments gras pendant la cuisson,</t>
  </si>
  <si>
    <t>une partie des légumes non fibreux sera mixée pour lier la sauce(100g cuit /l maxi- au dela cela devient du potage)</t>
  </si>
  <si>
    <t>le boucher peut se charger de cette opération et larder le bœuf,avant de le ficeler, pour un bœuf à la mode par exemple, ou de le couper en morceaux pour une daube ou estouffade,</t>
  </si>
  <si>
    <t>pour confectionner un filet (3000 couverts) = 1m de mousseline stockinette - 6 louches de 2 l de légumes cuisinés; 2 nœuds (un à chaque extrémité)</t>
  </si>
  <si>
    <t>si vous possédez un "lardoire" faites mariner pendant 2h, dans du cognac, du persil ciselé, de l'ail pilé, poivre,muscade et épices,des petits batonnets de lard gras que vous introduirez dans la viande, parallèlement aux fibres</t>
  </si>
  <si>
    <t>faire rissoler la viande (6kg maxi par grille double gastronorme  2/1) soit 2 louches de 2l</t>
  </si>
  <si>
    <t>il est toujours préférable de préparer une daube avec le même vin que celui que vous servirez à table</t>
  </si>
  <si>
    <t>rissolage four direct 220° - 20mn</t>
  </si>
  <si>
    <t>la daube est l'un des plats les plus exquis de l'art populaire</t>
  </si>
  <si>
    <t>passer la viande en cellule- récupérer l'exsudat 35%</t>
  </si>
  <si>
    <t>on ignore l'origine de ce mot provenant peut-être du vieux français adouber, ou de l'italien addobbo</t>
  </si>
  <si>
    <t>peser l'amidon- les aromatisants et déshydratés- préparer le matériel jauge - écumoirs - louches etc..</t>
  </si>
  <si>
    <t>ce procédé de cuisson des viandes qui est sans doute le plus ancien a fait la gloire de la cuisine provençale et les délices de l'ancienne cuisine</t>
  </si>
  <si>
    <t>jour J</t>
  </si>
  <si>
    <t>il mérite que l'on continue de l'adopter ou qu'on apprenne à le connaître:</t>
  </si>
  <si>
    <t>préparer la cuisson en vérifiant les quantités - exsudat- tomates -jus légumes - compléter avec de l'eau</t>
  </si>
  <si>
    <t xml:space="preserve">il s'agit de cuire à l'étouffée, le plus longuement et le plus lentement possible, des viandes qui ont mariné ou pas dans le vin rouge ou blanc </t>
  </si>
  <si>
    <t>faire bouillir</t>
  </si>
  <si>
    <t xml:space="preserve"> relevé parfois de vinaigre avec bouquet garni, légumes et épices après avoir été revenues - ou pas- dans l'huile</t>
  </si>
  <si>
    <t>ajouter la viande</t>
  </si>
  <si>
    <t>en ce qui nous concerne nous avons choisi d'intituler "daubes" les plats de viande mijotés sans rissolage préalable et "estouffades" les plas de viande mijotés avec rissolage préalable,</t>
  </si>
  <si>
    <t>jauger et marquer le niveau de liquide qu'il faudrat maintenir par ajout d'eau jusqu'au moment de servir pour compenser l'évaporation</t>
  </si>
  <si>
    <t>toutes les daubes sont meilleures réchauffées et toutes peuvent être mangées froides avec des salades aux chapons (croûtons aillés)</t>
  </si>
  <si>
    <t>assaisonner</t>
  </si>
  <si>
    <t>si l'on veut qu'elles prennent en gelée, il faut y ajouter 1 ou 2 pieds de veau préalablement blanchis,</t>
  </si>
  <si>
    <t>ajouter les sacs de garniture aromatique</t>
  </si>
  <si>
    <t xml:space="preserve">l'ustensile idéal pour les pièces de viande braisées, les estouffades, les daubes, est la traditionnelle cocotte en terre ou la terrine à couvercle, </t>
  </si>
  <si>
    <t>laisser cuire et dégraisser souvent</t>
  </si>
  <si>
    <t>juste assez grande pour contenir les éléments de la recette, pour éviter l'emploi de trop de liquide - et donc avoir un jus court mais très riche</t>
  </si>
  <si>
    <t>récupérer les légumes à mixer; jeter les autres fibreux</t>
  </si>
  <si>
    <t>cocotte fermant le mieux possible afin d'éviter l'évaporation trop rapide des jus et des sucs</t>
  </si>
  <si>
    <t>lier - ajouter tomate en poudre - ketchup s'il y en a - rectifier l'assaisonnement</t>
  </si>
  <si>
    <t>vous pouvez pour plus de sécurité, luter l'ustensile avec une pâte faite de farine et d'eau ou poser entre la cocotte et son couvercle un papier sulfurisé huilé</t>
  </si>
  <si>
    <t>les anciennes braisières en fonte, que l'on posait sur le fourneau pour de longues heures, étaient munies d'un couvercle creux destiné à recevoir des braises, afin que la cuisson s'effectue par-dessus et par dessous, uniformément et à la même température</t>
  </si>
  <si>
    <t>aujourd'hui, le four doux est le substitut idéal des braises</t>
  </si>
  <si>
    <t xml:space="preserve">en provence, les daubières appelées parfois "toupis" ou "toupins" sont des marmites ventrues se resserrant vers le haut, </t>
  </si>
  <si>
    <t xml:space="preserve"> munies de deux petites anses ou d'un manche long, permettant de les retirer facilement des braises de la cheminée où on les enfouissait</t>
  </si>
  <si>
    <t>Fiche de Fabrication</t>
  </si>
  <si>
    <t>Modèle 22</t>
  </si>
  <si>
    <t>Poids net assiette</t>
  </si>
  <si>
    <t>recettes au poids</t>
  </si>
  <si>
    <t>vous avez des fiches avec affichage en Kg  pour collectivités</t>
  </si>
  <si>
    <t>Mise à jour A du 14 Décembre 2017</t>
  </si>
  <si>
    <t>et des fiches avec affichage en Gr pour Restaurateurs</t>
  </si>
  <si>
    <t>Vous avez 3 modes d'affichage</t>
  </si>
  <si>
    <t>DÉTAIL LIGNE 76</t>
  </si>
  <si>
    <t>Cellule N°</t>
  </si>
  <si>
    <t>OU</t>
  </si>
  <si>
    <t>2 = si vous avez ajouté des pourcentages de perte  le poids que vous demandez sera calculé en poids BRUT et affichage de la recette en poids NET exemple (1kg brut - 40% de perte = 60 g NET)</t>
  </si>
  <si>
    <t>3 = si vous avez ajouté des pourcentages de perte le poids que vous demandez sera calculé en poids NET et affichage de la recette en poids BRUT augmenté (1kg net + 40% de perte = 166 g BRUT)</t>
  </si>
  <si>
    <t>les % de pertes se saisissent colonne &gt;</t>
  </si>
  <si>
    <t>Je vous en souhaite une bonne utilisation</t>
  </si>
  <si>
    <t>et faites évoluer ce document</t>
  </si>
  <si>
    <t>transmettez vos "savoirs faire"  même s'ils vous paraissent insignifiants et peu importe qui les récupèrent pourvu qu'il puissent servir à un plus grand nombre</t>
  </si>
  <si>
    <t>Joël  Leboucher</t>
  </si>
  <si>
    <t xml:space="preserve">SAISISSEZ VOS % DE PERTES </t>
  </si>
  <si>
    <t>COLONNE</t>
  </si>
  <si>
    <t>je vous laisse le plaisir de la saisie pour vous</t>
  </si>
  <si>
    <t>entrainer colonne V</t>
  </si>
  <si>
    <t>CET AIDE MÉMOIRE  REGROUPE DES RECETTES DE LA FAMILLE BOUDINS BLANCS</t>
  </si>
  <si>
    <t>Largeurs de colonnes</t>
  </si>
  <si>
    <t>CET AIDE MÉMOIRE  REGROUPE DES RECETTES DE BOUDINS BLANCS</t>
  </si>
  <si>
    <t>BOUDIN BLANC MAISON la Table Lorraine d'Amélie</t>
  </si>
  <si>
    <t xml:space="preserve"> la Table Lorraine d'Amélie</t>
  </si>
  <si>
    <t xml:space="preserve">*(Ici au porc, mais cela peut être à la volaille, </t>
  </si>
  <si>
    <t>Préparer le bouillon et faites bouillir.</t>
  </si>
  <si>
    <t>au veau et même aux St Jacques et truite, saumon</t>
  </si>
  <si>
    <t>Recette source</t>
  </si>
  <si>
    <t>on peut marier les viandes (porc, veau) ou autre.</t>
  </si>
  <si>
    <t xml:space="preserve">Faites tremper les boyaux 15 mn dans l’eau froide, </t>
  </si>
  <si>
    <t>Ingrédients pour +/ 1.2 kg de boudin</t>
  </si>
  <si>
    <t>le temps de les ramollir, puis rincer les bien.</t>
  </si>
  <si>
    <t>L'Auteur estime ses proportions pour</t>
  </si>
  <si>
    <t xml:space="preserve"> Préparer la farce ; déchirer la mie de pain (sans la croûte)</t>
  </si>
  <si>
    <t xml:space="preserve"> Ajouter à votre hachis de viande les quatre jaunes d’œufs, le sel, </t>
  </si>
  <si>
    <t xml:space="preserve"> Dans un saladier, déposer la me de pain et arroser la avec le lait </t>
  </si>
  <si>
    <t>les champignons(soit sur la moitié, ou tout), le porto, et les oignons.</t>
  </si>
  <si>
    <t>en additionnant ses proportions on obtient</t>
  </si>
  <si>
    <t>et la crème.</t>
  </si>
  <si>
    <t xml:space="preserve"> Mélanger, pour que le tout soit homogène</t>
  </si>
  <si>
    <t xml:space="preserve"> Laisser gonfler 40 mn à température ambiante.</t>
  </si>
  <si>
    <t xml:space="preserve"> (Enfiler les boyaux sur le bec graisser avec de l’huile),</t>
  </si>
  <si>
    <t>il y aurait donc une perte de</t>
  </si>
  <si>
    <t xml:space="preserve"> Peler et hacher finement les oignons, les échalotes. </t>
  </si>
  <si>
    <t xml:space="preserve"> Nouer le bout du boyau au moment où la chair sortira de l’appareil</t>
  </si>
  <si>
    <t xml:space="preserve">Faites revenir à la poêle avec le beurre. Le hachis doit devenir </t>
  </si>
  <si>
    <t xml:space="preserve">sinon, pour le premier, l’air chassé, vous gênera pour remplir. </t>
  </si>
  <si>
    <t>translucide.</t>
  </si>
  <si>
    <t>Ensuite se ne sera plus gênant.</t>
  </si>
  <si>
    <t>cela me parait disproportionné</t>
  </si>
  <si>
    <t>Vos quantités pour &gt;</t>
  </si>
  <si>
    <t>Ingrédients  et quantités utilisées par l'Auteur pour</t>
  </si>
  <si>
    <t xml:space="preserve"> Couper la viande et la poitrine en gros dés. </t>
  </si>
  <si>
    <t xml:space="preserve"> Les boyaux doivent être remplis, sans air, et pas trop,</t>
  </si>
  <si>
    <t>Passer la viande au hachoir à viande, d’abord, grosse grille.</t>
  </si>
  <si>
    <t xml:space="preserve"> le pain en cuisant va gonfler un peu et ils éclateraient. </t>
  </si>
  <si>
    <t xml:space="preserve"> 250 g de poitrine de porc fraîche pas trop maigre</t>
  </si>
  <si>
    <t xml:space="preserve"> Puis repasser là encore une deuxième fois, grille fine.</t>
  </si>
  <si>
    <t>Vous pouvez nouer avec de la ficelle à la longueur qui vous convient.</t>
  </si>
  <si>
    <t xml:space="preserve"> 650 g de porc (épaule) ou moitié porc et veau ou aussi volaille</t>
  </si>
  <si>
    <t xml:space="preserve"> Puis vous passerez aussi, les oignons un peu refroidis, </t>
  </si>
  <si>
    <t xml:space="preserve">PRENDRE UNE AIGUILLE A COUDRE ET PIQUER LES BOUDINS </t>
  </si>
  <si>
    <t xml:space="preserve"> 250 g de mie de pain</t>
  </si>
  <si>
    <t xml:space="preserve">la mie de pain bien trempée et les champignons cuits poêlés </t>
  </si>
  <si>
    <t>AUX EXTREMITES ET DEUX TROIS FOIS SUR LE MILIEU</t>
  </si>
  <si>
    <t xml:space="preserve"> 30 cl de lait</t>
  </si>
  <si>
    <t xml:space="preserve">(pour qu’ils lâchent leur eau) et vous les réservez à part, </t>
  </si>
  <si>
    <t xml:space="preserve">(Pour ne pas qu’ils éclatent à la cuisson, </t>
  </si>
  <si>
    <t xml:space="preserve"> 30 cl de crème fraîche liquide</t>
  </si>
  <si>
    <t>si vous faites deux saveurs, sinon, ajoutez les de suite.</t>
  </si>
  <si>
    <t>qui doit être lente et à basse cuisson 75/80° maxi pendant 20 mn)</t>
  </si>
  <si>
    <t xml:space="preserve"> 300 g d’oignons</t>
  </si>
  <si>
    <t xml:space="preserve"> Réserver.</t>
  </si>
  <si>
    <t>Plonger les boudins dans le bouillon</t>
  </si>
  <si>
    <t>échalotes</t>
  </si>
  <si>
    <t xml:space="preserve"> 2 belles échalotes</t>
  </si>
  <si>
    <t>Et regarder la température, elle va baisser vers 65/70°</t>
  </si>
  <si>
    <t xml:space="preserve"> 1 cuillère à soupe de beurre</t>
  </si>
  <si>
    <t>la laisser remonter jusqu'à 75 ou 80°</t>
  </si>
  <si>
    <t>pincées</t>
  </si>
  <si>
    <t xml:space="preserve"> 3 pincées de noix de muscade</t>
  </si>
  <si>
    <t xml:space="preserve"> puis baisser le feu et maintenir 20 mn à cette température.</t>
  </si>
  <si>
    <t xml:space="preserve"> 2 cuillères à soupe de persillade </t>
  </si>
  <si>
    <t>Laisser refroidir dans le bouillon.</t>
  </si>
  <si>
    <t>et herbes de Provence en mélange(fraîches ou séchées)</t>
  </si>
  <si>
    <t>Egoutter et sécher les boudins avant soit des les manger ainsi,</t>
  </si>
  <si>
    <t xml:space="preserve"> 1 cuillère à café de quatre épices</t>
  </si>
  <si>
    <t xml:space="preserve"> avec un pain de campagne, ou attendre qu’ils soient refroidis </t>
  </si>
  <si>
    <t xml:space="preserve"> Poivre du moulin</t>
  </si>
  <si>
    <t>et les cuisiner passer à la poêle ou au grill.</t>
  </si>
  <si>
    <t xml:space="preserve"> Sel (17 g par kilo de mêlée)</t>
  </si>
  <si>
    <t>Poids de mélée</t>
  </si>
  <si>
    <t>Voici quelques idées, un sauté à la poêle avec un peu de beurre</t>
  </si>
  <si>
    <t>Poids de sel</t>
  </si>
  <si>
    <t>L’autre en Parmentier avec pommes de terre en purée,</t>
  </si>
  <si>
    <t xml:space="preserve"> 4 jaunes d’œuf</t>
  </si>
  <si>
    <t xml:space="preserve"> fèves passées à la poêle, rondelles de boudin poêlées et jus de veau</t>
  </si>
  <si>
    <t xml:space="preserve"> 5 cuillères à soupe de Porto ou Madère</t>
  </si>
  <si>
    <t>Régalez vous, c’est super</t>
  </si>
  <si>
    <t xml:space="preserve"> 200 g de cèpes cuisinés et hachés </t>
  </si>
  <si>
    <t xml:space="preserve"> (pas trop de mie de pain, un bon goût de cèpes et d’herbes aromatiques)</t>
  </si>
  <si>
    <t>pour la moitié de la mêlée, l’autre moitié est nature.</t>
  </si>
  <si>
    <t>QQs boyaux (chez votre boucher ou ici)</t>
  </si>
  <si>
    <t>Pour le bouillon de cuisson :</t>
  </si>
  <si>
    <t xml:space="preserve"> 2 carottes</t>
  </si>
  <si>
    <t>une branche de céleri</t>
  </si>
  <si>
    <t>blanc</t>
  </si>
  <si>
    <t>un blanc de poireau</t>
  </si>
  <si>
    <t>oignon</t>
  </si>
  <si>
    <t xml:space="preserve"> 1 oignon</t>
  </si>
  <si>
    <t>3 clous de girofle</t>
  </si>
  <si>
    <t>feuille</t>
  </si>
  <si>
    <t>une feuille de laurier</t>
  </si>
  <si>
    <t>cubes</t>
  </si>
  <si>
    <t xml:space="preserve"> deux bouillons de poule ou cube</t>
  </si>
  <si>
    <t xml:space="preserve"> sel pas trop, les bouillons le sont déjà.</t>
  </si>
  <si>
    <t>https://auxjardinsdamelie.blogspot.fr/</t>
  </si>
  <si>
    <t>https://www.ceproc.com/media/uploads/innovation-publication-du-pole/lettre_14_boudin_blanc.pdf</t>
  </si>
  <si>
    <t>Boudin blanc méthode de fabrication à chaud</t>
  </si>
  <si>
    <t xml:space="preserve">acide ascorbique : 0,05 - </t>
  </si>
  <si>
    <t>coriandre moulue : 0,02 -</t>
  </si>
  <si>
    <t xml:space="preserve">laurier en poudre :0,01 - </t>
  </si>
  <si>
    <t xml:space="preserve">piment doux :0,01 - </t>
  </si>
  <si>
    <t xml:space="preserve">gingembre en poudre :0,01 – </t>
  </si>
  <si>
    <t>Menus de porc</t>
  </si>
  <si>
    <t>Préparation du lait aromatisé</t>
  </si>
  <si>
    <t xml:space="preserve">Ingrédients : </t>
  </si>
  <si>
    <t xml:space="preserve">lait : 1000 g - </t>
  </si>
  <si>
    <t xml:space="preserve">oignon : 50 g - </t>
  </si>
  <si>
    <t xml:space="preserve">carotte : 50 g - </t>
  </si>
  <si>
    <t xml:space="preserve">orange : 50 g - </t>
  </si>
  <si>
    <t xml:space="preserve">céleri boule : 50 g - </t>
  </si>
  <si>
    <t xml:space="preserve">blanc de poireau : 40 g - </t>
  </si>
  <si>
    <t xml:space="preserve">clou de girofle : 2 pièces - </t>
  </si>
  <si>
    <t>baie de genièvre : 2 pièces -</t>
  </si>
  <si>
    <t>bouquet garni : 1pièce</t>
  </si>
  <si>
    <t xml:space="preserve">Faire revenir les légumes préalablement coupés. </t>
  </si>
  <si>
    <t>Après cuisson,passer cette préparation au tamis.</t>
  </si>
  <si>
    <t>Réserver le lait au chaud à 55/60°C.</t>
  </si>
  <si>
    <t>Préparation de la pâte à boudin</t>
  </si>
  <si>
    <t xml:space="preserve">le poivre, les œufs, les blancs. </t>
  </si>
  <si>
    <t xml:space="preserve">Pousser la pâte tiède sous menu de porc moyen </t>
  </si>
  <si>
    <t xml:space="preserve">(diamètre 30/32 ou 32/34) préalablement trempé et coulé. </t>
  </si>
  <si>
    <t>Portionner des boudins de 90 à 110 g.</t>
  </si>
  <si>
    <t>et maintenir 80°C pendant 20 à 30 mn.</t>
  </si>
  <si>
    <t>Ou cuire en four vapeur à 90°C pendant 20 mn.)</t>
  </si>
  <si>
    <t>Conservation</t>
  </si>
  <si>
    <t>Pour une conservation optimale, respecter les durées validées</t>
  </si>
  <si>
    <t xml:space="preserve">par les guides de bonnes pratiques : </t>
  </si>
  <si>
    <t>12 jours en sous vide,</t>
  </si>
  <si>
    <t>8 jours en saumure (3 à 4 % de sel et 0,1% d'acide ascorbique)</t>
  </si>
  <si>
    <t>ou sous gelée (avec 2% de sel)</t>
  </si>
  <si>
    <t>Présentation</t>
  </si>
  <si>
    <t xml:space="preserve">Boudin poêlé accompagné de champignons </t>
  </si>
  <si>
    <t>(cèpes, girolles et autres) au vinaigre</t>
  </si>
  <si>
    <t>(champignons passés au four vapeur 3 mn pour enlever l’eau de</t>
  </si>
  <si>
    <t>végétation puis sautés avec du beurre, échalote ciselée, gousse d’ail,</t>
  </si>
  <si>
    <t>poivre, noix concassées et l’huile de noix, déglacés au vinaigre de Xérès</t>
  </si>
  <si>
    <t>et laissés mariner 3 jours en chambre froide)</t>
  </si>
  <si>
    <t>Guy KRENZER - Eric GODDYN - Emmanuel HENRY</t>
  </si>
  <si>
    <t>Ajouter le lait. Monter à frémissement. Couvrir et faire infuser 20 à 30 mn.</t>
  </si>
  <si>
    <t xml:space="preserve">Trier les viandes. Les réserver en chambre froide. </t>
  </si>
  <si>
    <t>Les passer au hachoir plaque n°4   (température de la viande 3/4°C).</t>
  </si>
  <si>
    <t xml:space="preserve">Après obtention d'une farce fine,ajouter petit à petit le lait chaud. </t>
  </si>
  <si>
    <t>En fin de cutterage, ajouter le liant amylacé, les épices et l'alcool.</t>
  </si>
  <si>
    <t>Refroidir dans un bac d'eau glacée pendant 15 mn environ afin d'obtenir une belle couleur blanche.</t>
  </si>
  <si>
    <t>Egoutter et entreposer en chambre froide peu ventilée en les protégeant.</t>
  </si>
  <si>
    <t>Cuisson : Plonger les boudins en immersion dans une marmite d'eau à frémissement,</t>
  </si>
  <si>
    <t xml:space="preserve">Au cutter travailler au départ le maigre, la poitrine, le gras, avec le sel, </t>
  </si>
  <si>
    <t>Lait aromatisé : 40</t>
  </si>
  <si>
    <t xml:space="preserve">poitrine de porc : 23,6 </t>
  </si>
  <si>
    <t xml:space="preserve">maigre de porc : 14 </t>
  </si>
  <si>
    <t xml:space="preserve">gras d’épaule ou de jambon :9 </t>
  </si>
  <si>
    <t xml:space="preserve">blanc d'œufs :6 </t>
  </si>
  <si>
    <t>œufs entiers :3</t>
  </si>
  <si>
    <t>sel fin :1,65</t>
  </si>
  <si>
    <t>porto :1</t>
  </si>
  <si>
    <t>amidon de mais ou fécule de pomme de terre : 1</t>
  </si>
  <si>
    <t>Grand Marnier ou fleur d'oranger : 0,5</t>
  </si>
  <si>
    <t>poivre blanc pulvérisé : 0,1</t>
  </si>
  <si>
    <t>quatre épices : 0,05</t>
  </si>
  <si>
    <t>baies</t>
  </si>
  <si>
    <t>❷Auteurs</t>
  </si>
  <si>
    <t>la garniture du lait n'est pas additionnée  dans le total puisqu'elle n'entre pas dans le poids final</t>
  </si>
  <si>
    <t xml:space="preserve">1 = RECETTE DE L'AUTEUR AVEC VOTRE POIDS SAISI </t>
  </si>
  <si>
    <t>Une recette du CEPROC</t>
  </si>
  <si>
    <t>https://www.facebook.com/pg/CeprocParisFrance/about/</t>
  </si>
  <si>
    <t>https://www.ceproc.com/fr/ceproc/galerie-videos/</t>
  </si>
  <si>
    <t>http://www.bleucitronvo.fr/newsletter5/images/CeprocSavoirFaire16Interactif.pdf</t>
  </si>
  <si>
    <t xml:space="preserve">Une recette de Patrick GEORGIN </t>
  </si>
  <si>
    <t>Une recette de la Table Lorraine d'Amélie</t>
  </si>
  <si>
    <t>Deux recettes de Marie université-lorraine.fr-ENSAIA</t>
  </si>
  <si>
    <t xml:space="preserve"> Boudin blanc au cognac ...Une recette de Michel MARIETTE</t>
  </si>
  <si>
    <t xml:space="preserve"> Boudin blanc au cognac "très bonne qualité "</t>
  </si>
  <si>
    <t>Madame….Monsieur …Bonjour</t>
  </si>
  <si>
    <t>Aujourd'hui ..un document sur le BOUDIN BLANC</t>
  </si>
  <si>
    <t>Ce document est composé de plusieurs recettes qui sont mises en ligne sur le net</t>
  </si>
  <si>
    <t>Je remercie les Auteurs …mon objectif est de mettre leur travail en valeur et de vous inciter à utiliser la recette qui vous conviendra le mieux .</t>
  </si>
  <si>
    <t>et toutes les recettes de Michel Mariette éditées par lui-même sur son Blog</t>
  </si>
  <si>
    <t>Modèle  a la PORTION   affichage en GRAMMES  pour Restaurateurs - 2 tableaux à imprimer de A à Q - 1 tableau de saisie de S à W  et une colonne AB pour les % de pertes (facultatif)  - Mode d'emploi cellule S 50</t>
  </si>
  <si>
    <t>CET AIDE MÉMOIRE  REGROUPE DES RECETTES DE QUELLE FAMILLE  (plats-légumes-desserts ou autres)</t>
  </si>
  <si>
    <t>Nom de la recette à saisir colonne R</t>
  </si>
  <si>
    <t>? Albert A VOUS DE SAISIR LE NOM DE L'AUTEUR colonne R</t>
  </si>
  <si>
    <t>1  banane et demi</t>
  </si>
  <si>
    <t>Pour retrouver la recette sur le net collez l'adresse</t>
  </si>
  <si>
    <t>⓫     aide à la décision à la portion</t>
  </si>
  <si>
    <t>les cellules d'aide à la décision vous affichent des indications d'effectifs ou équivalent à saisir</t>
  </si>
  <si>
    <t>effectif qu'il faudrait saisir en  ❾  pour obtenir le résultat souhaité</t>
  </si>
  <si>
    <t>&lt;  &lt;  vous voudriez faire combien de portions  ?                                                             Pour &gt;</t>
  </si>
  <si>
    <t>BOUDIN BLANC MAISON AUX MORILLES</t>
  </si>
  <si>
    <t>Une recette extraite du blog MAMINA</t>
  </si>
  <si>
    <t>Boudin blanc (sans boyau)</t>
  </si>
  <si>
    <t>http://www.mamina.fr/2014/12/boudin-blanc-maison-pour-les-fetes.html</t>
  </si>
  <si>
    <t>https://www.lexpress.fr/styles/saveurs/</t>
  </si>
  <si>
    <t>http://www.canalblog.com/directory/Cuisine%20et%20Gastronomie/</t>
  </si>
  <si>
    <t xml:space="preserve"> 600 g de blancs de poulet</t>
  </si>
  <si>
    <t xml:space="preserve"> 2 belles échalotes ciselées</t>
  </si>
  <si>
    <t xml:space="preserve"> 1 verre de vin blanc sec</t>
  </si>
  <si>
    <t xml:space="preserve"> 2 c.à soupe bombées de crème fraîche épaisse</t>
  </si>
  <si>
    <t xml:space="preserve"> 2 blancs d'oeufs</t>
  </si>
  <si>
    <t xml:space="preserve"> 1 douzaine de petites morilles séchées</t>
  </si>
  <si>
    <t xml:space="preserve"> 2 c.à soupe rases de Maïzena</t>
  </si>
  <si>
    <t xml:space="preserve"> 1 petite pincée de 4 épices</t>
  </si>
  <si>
    <t xml:space="preserve"> Sel (15 g/kg d'appareil) </t>
  </si>
  <si>
    <t xml:space="preserve"> Une noisette de beurre</t>
  </si>
  <si>
    <t>Mettre les morilles à tremper dans de l'eau bouillante.</t>
  </si>
  <si>
    <t>Ajouter les échalotes, mixer à nouveau et incorporer les morilles coupées en petits morceaux.</t>
  </si>
  <si>
    <t>Peser l'appareil et assaisonner.</t>
  </si>
  <si>
    <t>Répartir 100 g de chair environ à 1 centimètre du bord d'un grand morceau de papier-film.</t>
  </si>
  <si>
    <t>Rouler doucement le papier en enfermant la farce en serrant régulièrement.</t>
  </si>
  <si>
    <t>Cuire 15 minutes à petits bouillons.</t>
  </si>
  <si>
    <t>Si vous voulez, vous pouvez assaisonner votre boudin avec 3 cuillerées de Porto.</t>
  </si>
  <si>
    <t>Blog MAMINA et si c'était bon</t>
  </si>
  <si>
    <t>Ciseler finement les échalotes et les faire fondre à feu moyen dans le beurre,</t>
  </si>
  <si>
    <t xml:space="preserve">de liquide. </t>
  </si>
  <si>
    <t>Réserver.</t>
  </si>
  <si>
    <t>Cuire les morilles avec un tout petit peu de beurre, les couvrir d'eau et laisser mijoter 20 minutes</t>
  </si>
  <si>
    <t>Pendant la cuisson des morilles, couper le poulet en petits morceaux, le mettre dans le mixer</t>
  </si>
  <si>
    <t>Terminer en nouant les extrémités du papier pour donner au boudin.</t>
  </si>
  <si>
    <t>Chauffer une grande casserole en portant de l'eau à ébullition, y plonger les boudins</t>
  </si>
  <si>
    <t xml:space="preserve">À la place des morilles, n'hésitez pas à mettre des cèpes ou de la truffe... </t>
  </si>
  <si>
    <t>En tout cas, d'une façon ou d'une autre, régalez-vous.</t>
  </si>
  <si>
    <t>J"ai essayé une version veau à la place de la volaille, c'est comme ça que je les préfère</t>
  </si>
  <si>
    <t>mais vous pouvez choisir la viande blanche de votre choix!</t>
  </si>
  <si>
    <t xml:space="preserve">verser le vin blanc, la même quantité d'eau et laisser mijoter jusqu'à ce qu'il ne reste plus </t>
  </si>
  <si>
    <t>environ, saler en fin de cuisson lorsqu'il ne reste plus de liquide.</t>
  </si>
  <si>
    <t>avec la crème fraîche et le réduire en purée fine.</t>
  </si>
  <si>
    <t>Ajouter la farine, mélanger et terminer en icorporant les blancs d'oeufs.</t>
  </si>
  <si>
    <t>la forme et la longueur souhaitées</t>
  </si>
  <si>
    <t>et baisser le feu.</t>
  </si>
  <si>
    <t>echalotes</t>
  </si>
  <si>
    <t>verre</t>
  </si>
  <si>
    <t>blancs</t>
  </si>
  <si>
    <t>douzaine</t>
  </si>
  <si>
    <t>poids d'appareil</t>
  </si>
  <si>
    <t>noisette</t>
  </si>
  <si>
    <t>Une recette extraite du blog MAMINA    Boudin blanc (sans boyau)</t>
  </si>
  <si>
    <t>http://pechedegourmand.canalblog.com/archives/2009/12/09/16063507.html</t>
  </si>
  <si>
    <t>http://allrecipes.fr/recette/15076/comment-faire-du-boudin-blanc.aspx</t>
  </si>
  <si>
    <t>des liens du net</t>
  </si>
  <si>
    <t>http://allrecipes.fr/recette/16575/faire-du-boudin-blanc-maison.aspx</t>
  </si>
  <si>
    <t>http://www.marieclaire.fr/cuisine/boudin-blanc,1222936.asp</t>
  </si>
  <si>
    <t>https://www.gites-de-france-nord.fr/sur-mesure/tiens-voila-du-boudin-blanc-recette-a-faire-et-a-refaire.html</t>
  </si>
  <si>
    <t>http://isabelledenimal.over-blog.com/2016/11/boudins-blancs.html</t>
  </si>
  <si>
    <t>http://www.lavoixdunord.fr/93366/article/2016-12-21/pas-pas-la-fabrication-d-un-bon-boudin-blanc-maison</t>
  </si>
  <si>
    <t>https://www.audreycuisine.fr/2012/12/boudin-blanc-a-la-truffe-noire/</t>
  </si>
  <si>
    <t>https://ouiaremakers.com/posts/tutoriel-diy-boudin-blanc</t>
  </si>
  <si>
    <t>https://recettes.de/boudin-blanc/poulet</t>
  </si>
  <si>
    <t>http://gourmandesansgluten.blogspot.fr/2014/12/boudin-blanc-maison-sans-gluten.html</t>
  </si>
  <si>
    <t>Vidéos</t>
  </si>
  <si>
    <t>https://www.academiedugout.fr/recettes/boudin-blanc-maison_9793_2</t>
  </si>
  <si>
    <t>pour éviter tous problèmes de "copyright"</t>
  </si>
  <si>
    <t>Je suis respectueux du travail d'autrui c'est pour cela que je cite à chaque fois le nom de l'Auteur et que j'ajoute le lien internet vers ces documents de l'Auteur</t>
  </si>
  <si>
    <t>Mais je m'interroge sur le copyright des recettes postées sur le net. Cela reviendrait à dire que j'affiche à l'entrée de ma ville sur un super panneau publicitaire une annonce dans ce genre.</t>
  </si>
  <si>
    <t>Je pense peut-être à tord qu'une recette si elle ne veut pas être dupliquée…eh bien cette recette n'a rien a faire sur le net</t>
  </si>
  <si>
    <t>Par contre qu'il soit interdit de s'approprier le travail d'autrui c'est la base du savoir être…que les sources soient citées ou mises en lien soit le minimum</t>
  </si>
  <si>
    <r>
      <t>et si l'on a l'esprit "associatif" contibuer à diffuser et mettre en valeur ces documents est une source "d'enrichissement"</t>
    </r>
    <r>
      <rPr>
        <b/>
        <i/>
        <sz val="18"/>
        <color theme="1" tint="0.499984740745262"/>
        <rFont val="Calibri"/>
        <family val="2"/>
        <scheme val="minor"/>
      </rPr>
      <t xml:space="preserve"> (intellectuel…je précise)</t>
    </r>
    <r>
      <rPr>
        <b/>
        <sz val="18"/>
        <color theme="1" tint="0.499984740745262"/>
        <rFont val="Calibri"/>
        <family val="2"/>
        <scheme val="minor"/>
      </rPr>
      <t xml:space="preserve"> et de satisfaction</t>
    </r>
  </si>
  <si>
    <r>
      <t xml:space="preserve">sur le net vous avez un excellent site de charcuterie maison </t>
    </r>
    <r>
      <rPr>
        <b/>
        <i/>
        <sz val="16"/>
        <color theme="1"/>
        <rFont val="Calibri"/>
        <family val="2"/>
        <scheme val="minor"/>
      </rPr>
      <t>(pour eviter des ennuis avec l'un des propriétaire qui défend son copyright)</t>
    </r>
    <r>
      <rPr>
        <b/>
        <sz val="16"/>
        <color theme="1"/>
        <rFont val="Calibri"/>
        <family val="2"/>
        <scheme val="minor"/>
      </rPr>
      <t xml:space="preserve"> je vous laisse en faire la recherche </t>
    </r>
  </si>
  <si>
    <t>•Contaminationmicrobiologique(B)•Multiplicationdesgermes(B)</t>
  </si>
  <si>
    <t>59 caractères en comptant les points</t>
  </si>
  <si>
    <t>Collez votre texte avec espaces dans la cellule blanche</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</si>
  <si>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</si>
  <si>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</si>
  <si>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</si>
  <si>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</si>
  <si>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</si>
  <si>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</si>
  <si>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</si>
  <si>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</si>
  <si>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</si>
  <si>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</si>
  <si>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</si>
  <si>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</si>
  <si>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</si>
  <si>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</si>
  <si>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</si>
  <si>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</si>
  <si>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</si>
  <si>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</si>
  <si>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</si>
  <si>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</si>
  <si>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</si>
  <si>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</si>
  <si>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</si>
  <si>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</si>
  <si>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</si>
  <si>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</si>
  <si>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</si>
  <si>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</si>
  <si>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</si>
  <si>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</si>
  <si>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</si>
  <si>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</si>
  <si>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</si>
  <si>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Protéines</t>
  </si>
  <si>
    <t>M.Grasse</t>
  </si>
  <si>
    <t>eau</t>
  </si>
  <si>
    <t>si vous n'êtes pas d'accord avec les grammages saisis - saisissez ce qui vous convient</t>
  </si>
  <si>
    <t>Combien d'œufs - de jaunes ou de blancs - à vous de saisir un nombre</t>
  </si>
  <si>
    <t>Lien internet :</t>
  </si>
  <si>
    <t>Œufs 101 - Introduction aux œufs » Lesoeufs.ca</t>
  </si>
  <si>
    <t>N° de colonne</t>
  </si>
  <si>
    <t>BOUDIN BLANC - CEPROC</t>
  </si>
  <si>
    <t>Lait aromatisé : 40 %</t>
  </si>
  <si>
    <t>poitrine de porc : 23,6 %</t>
  </si>
  <si>
    <t>maigre de porc : 14 %</t>
  </si>
  <si>
    <t>gras d’épaule ou de jambon : 9 %</t>
  </si>
  <si>
    <t>blanc d'œufs : 6 %</t>
  </si>
  <si>
    <t>œufs entiers :3 %</t>
  </si>
  <si>
    <t>sel fin : 1,65 %</t>
  </si>
  <si>
    <t>porto : 1 %</t>
  </si>
  <si>
    <t>amidon de mais ou fécule de pomme de terre : 1 %</t>
  </si>
  <si>
    <t>Grand Marnier ou fleur d'oranger : 0,5 %</t>
  </si>
  <si>
    <t>poivre blanc pulvérisé : 0,1 %</t>
  </si>
  <si>
    <t>quatre épices : 0,05 %</t>
  </si>
  <si>
    <t>acide ascorbique : 0,05 %</t>
  </si>
  <si>
    <t>coriandre moulue : 0,02 %</t>
  </si>
  <si>
    <t>piment doux : 0,01 %</t>
  </si>
  <si>
    <t>gingembre en poudre : 0,01 %</t>
  </si>
  <si>
    <t>laurier en poudre : 0,01 %</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</si>
  <si>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</si>
  <si>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</si>
  <si>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</si>
  <si>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</si>
  <si>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</si>
  <si>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</si>
  <si>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</si>
  <si>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</si>
  <si>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</si>
  <si>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</si>
  <si>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</si>
  <si>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</si>
  <si>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</si>
  <si>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</si>
  <si>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</si>
  <si>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</si>
  <si>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</si>
  <si>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</si>
  <si>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</si>
  <si>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</si>
  <si>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</si>
  <si>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</si>
  <si>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</si>
  <si>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</si>
  <si>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</si>
  <si>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</si>
  <si>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</si>
  <si>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</si>
  <si>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</si>
  <si>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</si>
  <si>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</si>
  <si>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</si>
  <si>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</si>
  <si>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</si>
  <si>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</si>
  <si>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</si>
  <si>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</si>
  <si>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</si>
  <si>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</si>
  <si>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</si>
  <si>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</si>
  <si>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</si>
  <si>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</si>
  <si>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</si>
  <si>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</si>
  <si>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</si>
  <si>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cake design</t>
  </si>
  <si>
    <t>wedding cake photos</t>
  </si>
  <si>
    <t>wedding cake youtube</t>
  </si>
  <si>
    <t>FAIRE UN GÂTEAU VÉGÉTAL AVEC LES FLEURS DU JARDIN</t>
  </si>
  <si>
    <t>Vous recherchez un décor  &gt;</t>
  </si>
  <si>
    <t>Différentes formules pour calculer l'Aire ou surface du cercle</t>
  </si>
  <si>
    <t>PI()*(Rayon^2)</t>
  </si>
  <si>
    <t>PI()*(Rayon*Rayon)</t>
  </si>
  <si>
    <t>PI()*(Diamètre/2)*(Diamètre/2)</t>
  </si>
  <si>
    <t>Différentes formules pour calculer le volume d'un entremet</t>
  </si>
  <si>
    <t>((PI()*(Rayon^2)*Hauteur))</t>
  </si>
  <si>
    <t>(PI()*(Rayon*Rayon)*Hauteur)</t>
  </si>
  <si>
    <t>((Diamètre/2)*(Diamètre/2)*3.1416)*Hauteur</t>
  </si>
  <si>
    <t>L'aire d'un cercle de 22cm est égale à 3,14 x (11x11) = 379,94 cm2</t>
  </si>
  <si>
    <t>L'aire d'un cercle de 22cm est égale à PI() x (11x11) = 380.13 cm2</t>
  </si>
  <si>
    <t>PI()*(11*11)</t>
  </si>
  <si>
    <t>Nb de cercles</t>
  </si>
  <si>
    <t>Diamètre</t>
  </si>
  <si>
    <t>rayon</t>
  </si>
  <si>
    <t>Aire ou Surface</t>
  </si>
  <si>
    <t>Pour intégrer ce tableau sous des documents Modèle B3-B -2015 réduisez la largeur des colonnes à 9</t>
  </si>
  <si>
    <t>Sinon : Pour une meilleure lisibilité vous pouvez élargir les colonnes à 15 -ou Affichage Zoom 125%</t>
  </si>
  <si>
    <t>CONVERSIONS</t>
  </si>
  <si>
    <t>1m2 = 10.000 cm2 </t>
  </si>
  <si>
    <t>1 cm = 0,01 m donc </t>
  </si>
  <si>
    <t>ou </t>
  </si>
  <si>
    <t>1 cm² = 0,01 x 0,01 = 0,0001 m² = 10^-4 m² </t>
  </si>
  <si>
    <t>1cm2=1/10.000 m2</t>
  </si>
  <si>
    <t>1cm^2=0.0001m^2</t>
  </si>
  <si>
    <t>Pour passer de m² en cm² il faut faire l'inverse </t>
  </si>
  <si>
    <t>17 cm²=0.0017 m². </t>
  </si>
  <si>
    <t>1 m = 100 cm </t>
  </si>
  <si>
    <t>1 m² = 100 x 100 = 10 000 cm²</t>
  </si>
  <si>
    <t>10 000 cm2 = 100 dm2 = 1 m2 </t>
  </si>
  <si>
    <t>1 cm2 = 0.001 dm2 = 0.00001 m2</t>
  </si>
  <si>
    <t>copier/coller</t>
  </si>
  <si>
    <t>Gastro Norm</t>
  </si>
  <si>
    <t>https://fr.wikipedia.org/wiki/Gastro_Norm</t>
  </si>
  <si>
    <t>Le format de base est le GN 1/1, qui fait 530 x 325 mm. Les autres sont des multiples ou des sous-multiples de ce module de base. Les formats généralement rencontrés chez les professionnels sont1 :</t>
  </si>
  <si>
    <t>Les profondeurs les plus courantes sont 20, 40, 65, 100, 150 et 200 mm.</t>
  </si>
  <si>
    <t>Nombre de parts et poids d'une portion</t>
  </si>
  <si>
    <t>Poids Total</t>
  </si>
  <si>
    <t>poids d'1 portion</t>
  </si>
  <si>
    <t>Nb de parts</t>
  </si>
  <si>
    <t>la portion</t>
  </si>
  <si>
    <t xml:space="preserve">Saisissez les valeurs dans les cellules fond jaune encre rouge </t>
  </si>
  <si>
    <t>Transférer  des cercles dans des cadres</t>
  </si>
  <si>
    <t>CERCLES A TRANSFÉRER</t>
  </si>
  <si>
    <t>Poids crème liquide</t>
  </si>
  <si>
    <t>Coeff.</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</si>
  <si>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</si>
  <si>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</si>
  <si>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</si>
  <si>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</si>
  <si>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</si>
  <si>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</si>
  <si>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</si>
  <si>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</si>
  <si>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Hauteur</t>
  </si>
  <si>
    <t>Calculez le volume des moules et cadres rectangles</t>
  </si>
  <si>
    <t>FORMAT DE CELLULES CARRÉES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</si>
  <si>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</si>
  <si>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</si>
  <si>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</si>
  <si>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</si>
  <si>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</si>
  <si>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</si>
  <si>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largeur colonne</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</si>
  <si>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</si>
  <si>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</si>
  <si>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</si>
  <si>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</si>
  <si>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</si>
  <si>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</si>
  <si>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</si>
  <si>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</si>
  <si>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</si>
  <si>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</si>
  <si>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</si>
  <si>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</si>
  <si>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</si>
  <si>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</si>
  <si>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</si>
  <si>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</si>
  <si>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</si>
  <si>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forum.excel-pratique.com/excel/donner-la-forme-de-carres-reguliers-a-toutes-les-cellules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</si>
  <si>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</si>
  <si>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</si>
  <si>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</si>
  <si>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</si>
  <si>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</si>
  <si>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</si>
  <si>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</si>
  <si>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</si>
  <si>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farine</t>
  </si>
  <si>
    <t>sucre semoule</t>
  </si>
  <si>
    <t>beurre</t>
  </si>
  <si>
    <t>œuf (1 jaune)</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</si>
  <si>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</si>
  <si>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</si>
  <si>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</si>
  <si>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</si>
  <si>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</si>
  <si>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</si>
  <si>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</si>
  <si>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</si>
  <si>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</si>
  <si>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</si>
  <si>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</si>
  <si>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</si>
  <si>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</si>
  <si>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</si>
  <si>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</si>
  <si>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</si>
  <si>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</si>
  <si>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</si>
  <si>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</si>
  <si>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</si>
  <si>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</si>
  <si>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</si>
  <si>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</si>
  <si>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</si>
  <si>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</si>
  <si>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</si>
  <si>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</si>
  <si>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</si>
  <si>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</si>
  <si>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</si>
  <si>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</si>
  <si>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</si>
  <si>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</si>
  <si>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</si>
  <si>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</si>
  <si>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Equivalences en litre - 1 litre = environ</t>
  </si>
  <si>
    <t>20 oeufs entiers (x 55g =1.100Kg)</t>
  </si>
  <si>
    <t>ou 50 jaunes (x 20g = 1Kg)</t>
  </si>
  <si>
    <t>ou 32 blancs (x 30g = 0.960Kg)</t>
  </si>
  <si>
    <t>http://www.mylittlerecettes.com/cap-patissier-les-oeufs-en-patisserie/</t>
  </si>
  <si>
    <t>En pâtisserie les ingrédients se mesure à l’unité ou au poids pour les recettes professionnnelles. Les oeufs font environ 55g</t>
  </si>
  <si>
    <t>1 jaune d’oeuf pèse envrion : 20g  – 1 blanc d’oeuf pèse environ : 30g – 1 coquille 5g</t>
  </si>
  <si>
    <t>ff-conditionnement.xls</t>
  </si>
  <si>
    <t>Gastronormes tableau N° 1</t>
  </si>
  <si>
    <t>Estimation des contenants</t>
  </si>
  <si>
    <t>Partie du document réservée à la saisie</t>
  </si>
  <si>
    <t>En fonction des informations saisies : nombre de gasto à utiliser</t>
  </si>
  <si>
    <t>Contenance 1 Gastro</t>
  </si>
  <si>
    <t>Quoi?</t>
  </si>
  <si>
    <t>EFFECTIFS</t>
  </si>
  <si>
    <t>A conditionner</t>
  </si>
  <si>
    <t>Total gastronormes au choix</t>
  </si>
  <si>
    <t>Quantité - Grammage ou Nb de Mx ou tranche par convive</t>
  </si>
  <si>
    <t>Service à la portion</t>
  </si>
  <si>
    <t xml:space="preserve">Paupiettes de dindes 120g </t>
  </si>
  <si>
    <t>paupiettes</t>
  </si>
  <si>
    <t>Cuisses de canard cuites 200g  GN 1/1 H65</t>
  </si>
  <si>
    <t>Cuisses</t>
  </si>
  <si>
    <t>Viande tranchée</t>
  </si>
  <si>
    <t>tranches</t>
  </si>
  <si>
    <t>Tomates farcies</t>
  </si>
  <si>
    <t>tomates</t>
  </si>
  <si>
    <t>Service au poids</t>
  </si>
  <si>
    <t>Sautés en morceaux</t>
  </si>
  <si>
    <t>Tartiflette  GN 1/1 H65</t>
  </si>
  <si>
    <t>Brandade de morue</t>
  </si>
  <si>
    <t xml:space="preserve"> Tableaux inspirés du modèle de Michel Mariette </t>
  </si>
  <si>
    <t>Boudin blanc au coganc "très bonne qualité "  Fiche de fabrication  :  OLIDA   recette  1936</t>
  </si>
  <si>
    <t>AUTEUR  : Michel MARIETTE</t>
  </si>
  <si>
    <t>❷ VOTRE  POIDS en Kg</t>
  </si>
  <si>
    <t>❶ Recette</t>
  </si>
  <si>
    <t>à mettre en œuvre</t>
  </si>
  <si>
    <t>❹ LIEN</t>
  </si>
  <si>
    <t>hauteur de lignes conseillée 18.00 (24 pixels)</t>
  </si>
  <si>
    <t>❷ VOTRE  POIDS en Gr</t>
  </si>
  <si>
    <t>Mesdames….Messieurs….Voici en détail toute mes recettes ..  mais J'INTERDIT à quiquonque  de les reproduire  sous peine de poursuites judiciaires</t>
  </si>
  <si>
    <t xml:space="preserve"> Tableau inspiré du modèle de Michel Mariette Mise à jour du 30-12-2017 </t>
  </si>
</sst>
</file>

<file path=xl/styles.xml><?xml version="1.0" encoding="utf-8"?>
<styleSheet xmlns="http://schemas.openxmlformats.org/spreadsheetml/2006/main" xmlns:mc="http://schemas.openxmlformats.org/markup-compatibility/2006" xmlns:x14ac="http://schemas.microsoft.com/office/spreadsheetml/2009/9/ac" mc:Ignorable="x14ac">
  <numFmts count="63">
    <numFmt numFmtId="164" formatCode="0.000&quot; Kg&quot;"/>
    <numFmt numFmtId="165" formatCode="0.0%"/>
    <numFmt numFmtId="166" formatCode="0&quot; g&quot;"/>
    <numFmt numFmtId="167" formatCode="0.000"/>
    <numFmt numFmtId="168" formatCode="0.0&quot; g&quot;"/>
    <numFmt numFmtId="169" formatCode="0.0"/>
    <numFmt numFmtId="170" formatCode="0.000&quot;Kg&quot;"/>
    <numFmt numFmtId="171" formatCode="0&quot;%&quot;"/>
    <numFmt numFmtId="172" formatCode="0.0&quot;%&quot;"/>
    <numFmt numFmtId="173" formatCode="0&quot; mn&quot;"/>
    <numFmt numFmtId="174" formatCode="&quot;Poids portion&quot;\ 0.000&quot; Kg&quot;"/>
    <numFmt numFmtId="175" formatCode="0&quot; %&quot;"/>
    <numFmt numFmtId="176" formatCode="0.00&quot;Kg&quot;"/>
    <numFmt numFmtId="177" formatCode="dddd\ dd\ mmmm\ yyyy"/>
    <numFmt numFmtId="178" formatCode="hh&quot;H&quot;:mm&quot; mn&quot;"/>
    <numFmt numFmtId="179" formatCode="0.0&quot;Kg&quot;"/>
    <numFmt numFmtId="180" formatCode="0&quot; Mx&quot;"/>
    <numFmt numFmtId="181" formatCode="0.00&quot; Mx&quot;"/>
    <numFmt numFmtId="182" formatCode="0.000&quot; L&quot;"/>
    <numFmt numFmtId="183" formatCode="#,##0.00\ &quot;€&quot;"/>
    <numFmt numFmtId="184" formatCode="0.0&quot; %&quot;"/>
    <numFmt numFmtId="185" formatCode="0&quot;Kg&quot;"/>
    <numFmt numFmtId="186" formatCode="d\ mmmm\ yyyy"/>
    <numFmt numFmtId="187" formatCode="#,##0.00&quot; €&quot;"/>
    <numFmt numFmtId="188" formatCode="0&quot; ° C&quot;"/>
    <numFmt numFmtId="189" formatCode="[h]\Hmm"/>
    <numFmt numFmtId="190" formatCode="0&quot; °&quot;"/>
    <numFmt numFmtId="191" formatCode="h\hmm"/>
    <numFmt numFmtId="192" formatCode="0&quot; pourcentages&quot;"/>
    <numFmt numFmtId="193" formatCode="#,##0&quot; grs&quot;"/>
    <numFmt numFmtId="194" formatCode="#,##0&quot; g&quot;"/>
    <numFmt numFmtId="195" formatCode="0&quot; Kg&quot;"/>
    <numFmt numFmtId="196" formatCode="0.00&quot; Kg&quot;"/>
    <numFmt numFmtId="197" formatCode="#,##0&quot; cl&quot;"/>
    <numFmt numFmtId="198" formatCode="0.0000"/>
    <numFmt numFmtId="199" formatCode="#,##0.000"/>
    <numFmt numFmtId="200" formatCode="0&quot; gml&quot;"/>
    <numFmt numFmtId="201" formatCode="0.00\ &quot; cm³&quot;"/>
    <numFmt numFmtId="202" formatCode="&quot;Col.&quot;0"/>
    <numFmt numFmtId="203" formatCode="#,##0.0&quot; kg&quot;"/>
    <numFmt numFmtId="204" formatCode="#,##0&quot; kg&quot;"/>
    <numFmt numFmtId="205" formatCode="#,##0.000&quot; kg&quot;"/>
    <numFmt numFmtId="206" formatCode="#,##0.0&quot; grs&quot;"/>
    <numFmt numFmtId="207" formatCode="#,##0.00&quot; kg&quot;"/>
    <numFmt numFmtId="208" formatCode="_-* #,##0.00\ [$€-40C]_-;\-* #,##0.00\ [$€-40C]_-;_-* &quot;-&quot;??\ [$€-40C]_-;_-@_-"/>
    <numFmt numFmtId="209" formatCode="#,##0.00&quot; Frs&quot;"/>
    <numFmt numFmtId="210" formatCode="#,##0.000&quot;  Kg&quot;"/>
    <numFmt numFmtId="211" formatCode="0.0&quot; Kg&quot;"/>
    <numFmt numFmtId="212" formatCode="#,##0&quot; dl&quot;"/>
    <numFmt numFmtId="213" formatCode="0.0000&quot; Kg&quot;"/>
    <numFmt numFmtId="214" formatCode="[h]&quot;H&quot;mm"/>
    <numFmt numFmtId="215" formatCode="0.000\K\g"/>
    <numFmt numFmtId="216" formatCode="0&quot; gr&quot;"/>
    <numFmt numFmtId="217" formatCode="0.0&quot; gr&quot;"/>
    <numFmt numFmtId="218" formatCode="#,##0.0&quot; g&quot;"/>
    <numFmt numFmtId="219" formatCode="0&quot; cm&quot;"/>
    <numFmt numFmtId="220" formatCode="0.00\ &quot; cm²&quot;"/>
    <numFmt numFmtId="221" formatCode="0.0&quot; cm&quot;"/>
    <numFmt numFmtId="222" formatCode="0.0&quot; mm&quot;"/>
    <numFmt numFmtId="223" formatCode="0.00&quot; cm&quot;"/>
    <numFmt numFmtId="224" formatCode="0&quot; Gastro&quot;"/>
    <numFmt numFmtId="225" formatCode="\+\ 0.0;\-\ 0.0"/>
    <numFmt numFmtId="226" formatCode="\+\ 0.000;\-\ 0.000"/>
  </numFmts>
  <fonts count="54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1"/>
      <name val="Arial"/>
      <family val="2"/>
    </font>
    <font>
      <b/>
      <sz val="11"/>
      <color theme="0"/>
      <name val="Calibri"/>
      <family val="2"/>
    </font>
    <font>
      <sz val="12"/>
      <color indexed="8"/>
      <name val="Calibri"/>
      <family val="2"/>
    </font>
    <font>
      <b/>
      <sz val="12"/>
      <color rgb="FF339966"/>
      <name val="Calibri"/>
      <family val="2"/>
    </font>
    <font>
      <b/>
      <sz val="11"/>
      <color rgb="FFFF0000"/>
      <name val="Calibri"/>
      <family val="2"/>
      <scheme val="minor"/>
    </font>
    <font>
      <b/>
      <sz val="11"/>
      <color rgb="FF339966"/>
      <name val="Calibri"/>
      <family val="2"/>
      <scheme val="minor"/>
    </font>
    <font>
      <b/>
      <sz val="14"/>
      <name val="Calibri"/>
      <family val="2"/>
      <scheme val="minor"/>
    </font>
    <font>
      <b/>
      <sz val="14"/>
      <color rgb="FFFF0000"/>
      <name val="Calibri"/>
      <family val="2"/>
      <scheme val="minor"/>
    </font>
    <font>
      <b/>
      <sz val="12"/>
      <name val="Arial"/>
      <family val="2"/>
    </font>
    <font>
      <b/>
      <sz val="9"/>
      <color indexed="36"/>
      <name val="Calibri"/>
      <family val="2"/>
    </font>
    <font>
      <sz val="11"/>
      <color rgb="FF800080"/>
      <name val="Calibri"/>
      <family val="2"/>
    </font>
    <font>
      <b/>
      <sz val="10"/>
      <color theme="1"/>
      <name val="Calibri"/>
      <family val="2"/>
      <scheme val="minor"/>
    </font>
    <font>
      <b/>
      <sz val="12"/>
      <name val="Calibri"/>
      <family val="2"/>
      <scheme val="minor"/>
    </font>
    <font>
      <i/>
      <sz val="11"/>
      <name val="Calibri"/>
      <family val="2"/>
    </font>
    <font>
      <sz val="10"/>
      <name val="MS Sans Serif"/>
      <family val="2"/>
    </font>
    <font>
      <b/>
      <sz val="10"/>
      <color indexed="9"/>
      <name val="Arial"/>
      <family val="2"/>
    </font>
    <font>
      <sz val="11"/>
      <name val="Calibri"/>
      <family val="2"/>
    </font>
    <font>
      <u/>
      <sz val="10"/>
      <color indexed="12"/>
      <name val="Arial"/>
      <family val="2"/>
    </font>
    <font>
      <b/>
      <u/>
      <sz val="12"/>
      <color indexed="12"/>
      <name val="Calibri"/>
      <family val="2"/>
      <scheme val="minor"/>
    </font>
    <font>
      <b/>
      <sz val="11"/>
      <name val="Calibri"/>
      <family val="2"/>
    </font>
    <font>
      <b/>
      <sz val="16"/>
      <name val="Calibri"/>
      <family val="2"/>
      <scheme val="minor"/>
    </font>
    <font>
      <sz val="12"/>
      <name val="Calibri"/>
      <family val="2"/>
      <scheme val="minor"/>
    </font>
    <font>
      <u/>
      <sz val="14"/>
      <color indexed="12"/>
      <name val="Calibri"/>
      <family val="2"/>
      <scheme val="minor"/>
    </font>
    <font>
      <b/>
      <sz val="14"/>
      <color theme="1" tint="0.499984740745262"/>
      <name val="Calibri"/>
      <family val="2"/>
      <scheme val="minor"/>
    </font>
    <font>
      <sz val="14"/>
      <name val="Arial"/>
      <family val="2"/>
    </font>
    <font>
      <sz val="10"/>
      <name val="Bookman Old Style"/>
      <family val="1"/>
    </font>
    <font>
      <b/>
      <sz val="10"/>
      <name val="Bookman Old Style"/>
      <family val="1"/>
    </font>
    <font>
      <sz val="10"/>
      <name val="Calibri"/>
      <family val="2"/>
    </font>
    <font>
      <sz val="16"/>
      <color indexed="8"/>
      <name val="Calibri"/>
      <family val="2"/>
      <scheme val="minor"/>
    </font>
    <font>
      <b/>
      <sz val="12"/>
      <color indexed="57"/>
      <name val="Calibri"/>
      <family val="2"/>
    </font>
    <font>
      <sz val="10"/>
      <color indexed="57"/>
      <name val="Calibri"/>
      <family val="2"/>
    </font>
    <font>
      <sz val="14"/>
      <name val="Calibri"/>
      <family val="2"/>
      <scheme val="minor"/>
    </font>
    <font>
      <b/>
      <sz val="16"/>
      <color indexed="8"/>
      <name val="Calibri"/>
      <family val="2"/>
      <scheme val="minor"/>
    </font>
    <font>
      <b/>
      <sz val="16"/>
      <name val="Calibri"/>
      <family val="2"/>
    </font>
    <font>
      <b/>
      <sz val="16"/>
      <color indexed="8"/>
      <name val="Calibri"/>
      <family val="2"/>
    </font>
    <font>
      <b/>
      <sz val="14"/>
      <color rgb="FFC00000"/>
      <name val="Calibri"/>
      <family val="2"/>
      <scheme val="minor"/>
    </font>
    <font>
      <b/>
      <sz val="14"/>
      <color rgb="FF0070C0"/>
      <name val="Calibri"/>
      <family val="2"/>
      <scheme val="minor"/>
    </font>
    <font>
      <b/>
      <sz val="12"/>
      <color rgb="FFFF0000"/>
      <name val="Calibri"/>
      <family val="2"/>
      <scheme val="minor"/>
    </font>
    <font>
      <b/>
      <sz val="12"/>
      <color theme="0"/>
      <name val="Arial"/>
      <family val="2"/>
    </font>
    <font>
      <sz val="12"/>
      <name val="Arial"/>
      <family val="2"/>
    </font>
    <font>
      <b/>
      <sz val="12"/>
      <color rgb="FFFF0000"/>
      <name val="Arial"/>
      <family val="2"/>
    </font>
    <font>
      <b/>
      <sz val="12"/>
      <color indexed="10"/>
      <name val="Arial"/>
      <family val="2"/>
    </font>
    <font>
      <b/>
      <sz val="12"/>
      <color indexed="12"/>
      <name val="Arial"/>
      <family val="2"/>
    </font>
    <font>
      <b/>
      <sz val="12"/>
      <color rgb="FF0000FF"/>
      <name val="Calibri"/>
      <family val="2"/>
      <scheme val="minor"/>
    </font>
    <font>
      <b/>
      <sz val="12"/>
      <color indexed="12"/>
      <name val="Calibri"/>
      <family val="2"/>
      <scheme val="minor"/>
    </font>
    <font>
      <b/>
      <sz val="12"/>
      <color indexed="10"/>
      <name val="Calibri"/>
      <family val="2"/>
      <scheme val="minor"/>
    </font>
    <font>
      <b/>
      <sz val="14"/>
      <name val="Arial"/>
      <family val="2"/>
    </font>
    <font>
      <b/>
      <sz val="12"/>
      <color theme="1"/>
      <name val="Calibri"/>
      <family val="2"/>
      <scheme val="minor"/>
    </font>
    <font>
      <b/>
      <sz val="11"/>
      <color theme="0" tint="-0.34998626667073579"/>
      <name val="Calibri"/>
      <family val="2"/>
    </font>
    <font>
      <b/>
      <sz val="10"/>
      <color theme="0"/>
      <name val="Calibri"/>
      <family val="2"/>
    </font>
    <font>
      <b/>
      <sz val="11"/>
      <color theme="0" tint="-0.34998626667073579"/>
      <name val="Calibri"/>
      <family val="2"/>
      <scheme val="minor"/>
    </font>
    <font>
      <b/>
      <sz val="12"/>
      <name val="Calibri"/>
      <family val="2"/>
    </font>
    <font>
      <b/>
      <sz val="11"/>
      <name val="Calibri"/>
      <family val="2"/>
      <scheme val="minor"/>
    </font>
    <font>
      <b/>
      <sz val="8"/>
      <name val="Arial"/>
      <family val="2"/>
    </font>
    <font>
      <b/>
      <sz val="11"/>
      <color rgb="FF339966"/>
      <name val="Calibri"/>
      <family val="2"/>
    </font>
    <font>
      <b/>
      <sz val="12"/>
      <color theme="1" tint="0.499984740745262"/>
      <name val="Calibri"/>
      <family val="2"/>
    </font>
    <font>
      <b/>
      <sz val="12"/>
      <color theme="1" tint="0.499984740745262"/>
      <name val="Calibri"/>
      <family val="2"/>
      <scheme val="minor"/>
    </font>
    <font>
      <b/>
      <sz val="14"/>
      <color rgb="FF0070C0"/>
      <name val="Calibri"/>
      <family val="2"/>
    </font>
    <font>
      <b/>
      <sz val="14"/>
      <name val="Calibri"/>
      <family val="2"/>
    </font>
    <font>
      <b/>
      <sz val="14"/>
      <color rgb="FF339966"/>
      <name val="Calibri"/>
      <family val="2"/>
      <scheme val="minor"/>
    </font>
    <font>
      <b/>
      <sz val="13"/>
      <color rgb="FF0070C0"/>
      <name val="Calibri"/>
      <family val="2"/>
    </font>
    <font>
      <b/>
      <sz val="11"/>
      <color theme="8"/>
      <name val="Calibri"/>
      <family val="2"/>
      <scheme val="minor"/>
    </font>
    <font>
      <b/>
      <sz val="10"/>
      <color theme="8"/>
      <name val="Calibri"/>
      <family val="2"/>
      <scheme val="minor"/>
    </font>
    <font>
      <b/>
      <sz val="20"/>
      <name val="Arial"/>
      <family val="2"/>
    </font>
    <font>
      <b/>
      <sz val="16"/>
      <name val="Arial"/>
      <family val="2"/>
    </font>
    <font>
      <b/>
      <sz val="14"/>
      <color theme="0"/>
      <name val="Calibri"/>
      <family val="2"/>
      <scheme val="minor"/>
    </font>
    <font>
      <b/>
      <sz val="18"/>
      <color theme="1"/>
      <name val="Calibri"/>
      <family val="2"/>
      <scheme val="minor"/>
    </font>
    <font>
      <b/>
      <sz val="24"/>
      <color theme="1"/>
      <name val="Calibri"/>
      <family val="2"/>
      <scheme val="minor"/>
    </font>
    <font>
      <b/>
      <sz val="11"/>
      <color indexed="12"/>
      <name val="Arial"/>
      <family val="2"/>
    </font>
    <font>
      <sz val="11"/>
      <color theme="1" tint="0.499984740745262"/>
      <name val="Calibri"/>
      <family val="2"/>
      <scheme val="minor"/>
    </font>
    <font>
      <sz val="8"/>
      <color theme="1" tint="0.499984740745262"/>
      <name val="Calibri"/>
      <family val="2"/>
      <scheme val="minor"/>
    </font>
    <font>
      <b/>
      <sz val="14"/>
      <color rgb="FFFF0000"/>
      <name val="Arial"/>
      <family val="2"/>
    </font>
    <font>
      <sz val="10"/>
      <color theme="1"/>
      <name val="Calibri"/>
      <family val="2"/>
      <scheme val="minor"/>
    </font>
    <font>
      <u/>
      <sz val="11"/>
      <color theme="10"/>
      <name val="Calibri"/>
      <family val="2"/>
      <scheme val="minor"/>
    </font>
    <font>
      <b/>
      <u/>
      <sz val="20"/>
      <color theme="10"/>
      <name val="Calibri"/>
      <family val="2"/>
      <scheme val="minor"/>
    </font>
    <font>
      <sz val="10"/>
      <color rgb="FFFF0000"/>
      <name val="Arial"/>
      <family val="2"/>
    </font>
    <font>
      <b/>
      <sz val="11"/>
      <color rgb="FF339966"/>
      <name val="Arial"/>
      <family val="2"/>
    </font>
    <font>
      <sz val="11"/>
      <name val="Arial"/>
      <family val="2"/>
    </font>
    <font>
      <sz val="12"/>
      <color indexed="50"/>
      <name val="Calibri"/>
      <family val="2"/>
    </font>
    <font>
      <sz val="12"/>
      <color indexed="8"/>
      <name val="Arial"/>
      <family val="2"/>
    </font>
    <font>
      <b/>
      <sz val="16"/>
      <color rgb="FF339966"/>
      <name val="Arial"/>
      <family val="2"/>
    </font>
    <font>
      <b/>
      <sz val="16"/>
      <color rgb="FFFF0000"/>
      <name val="Calibri"/>
      <family val="2"/>
      <scheme val="minor"/>
    </font>
    <font>
      <b/>
      <u/>
      <sz val="12"/>
      <color theme="10"/>
      <name val="Calibri"/>
      <family val="2"/>
      <scheme val="minor"/>
    </font>
    <font>
      <b/>
      <sz val="12"/>
      <color rgb="FF0070C0"/>
      <name val="Calibri"/>
      <family val="2"/>
      <scheme val="minor"/>
    </font>
    <font>
      <b/>
      <u/>
      <sz val="11"/>
      <color theme="10"/>
      <name val="Calibri"/>
      <family val="2"/>
      <scheme val="minor"/>
    </font>
    <font>
      <sz val="16"/>
      <name val="Arial"/>
      <family val="2"/>
    </font>
    <font>
      <b/>
      <sz val="10"/>
      <name val="Arial"/>
      <family val="2"/>
    </font>
    <font>
      <b/>
      <sz val="12"/>
      <color rgb="FFC00000"/>
      <name val="Calibri"/>
      <family val="2"/>
      <scheme val="minor"/>
    </font>
    <font>
      <sz val="12"/>
      <color theme="1"/>
      <name val="Calibri"/>
      <family val="2"/>
      <scheme val="minor"/>
    </font>
    <font>
      <sz val="8"/>
      <name val="Arial"/>
      <family val="2"/>
    </font>
    <font>
      <i/>
      <sz val="12"/>
      <color indexed="12"/>
      <name val="Arial"/>
      <family val="2"/>
    </font>
    <font>
      <sz val="10"/>
      <color indexed="9"/>
      <name val="Arial"/>
      <family val="2"/>
    </font>
    <font>
      <b/>
      <sz val="10"/>
      <color indexed="10"/>
      <name val="Arial"/>
      <family val="2"/>
    </font>
    <font>
      <b/>
      <sz val="10"/>
      <color indexed="12"/>
      <name val="Arial"/>
      <family val="2"/>
    </font>
    <font>
      <sz val="10"/>
      <color indexed="12"/>
      <name val="Arial"/>
      <family val="2"/>
    </font>
    <font>
      <sz val="11"/>
      <color indexed="10"/>
      <name val="Arial"/>
      <family val="2"/>
    </font>
    <font>
      <b/>
      <sz val="11"/>
      <color indexed="9"/>
      <name val="Arial"/>
      <family val="2"/>
    </font>
    <font>
      <b/>
      <sz val="10"/>
      <color theme="0"/>
      <name val="Arial"/>
      <family val="2"/>
    </font>
    <font>
      <sz val="16"/>
      <color theme="0"/>
      <name val="Arial"/>
      <family val="2"/>
    </font>
    <font>
      <sz val="11"/>
      <color rgb="FF303030"/>
      <name val="Calibri"/>
      <family val="2"/>
      <scheme val="minor"/>
    </font>
    <font>
      <b/>
      <sz val="12"/>
      <color rgb="FF0000FF"/>
      <name val="Arial"/>
      <family val="2"/>
    </font>
    <font>
      <b/>
      <sz val="10"/>
      <color rgb="FF0000FF"/>
      <name val="Arial"/>
      <family val="2"/>
    </font>
    <font>
      <b/>
      <sz val="11"/>
      <color rgb="FF0000FF"/>
      <name val="ZDingbats"/>
    </font>
    <font>
      <i/>
      <sz val="11"/>
      <name val="Arial"/>
      <family val="2"/>
    </font>
    <font>
      <i/>
      <sz val="11"/>
      <color rgb="FF303030"/>
      <name val="Calibri"/>
      <family val="2"/>
      <scheme val="minor"/>
    </font>
    <font>
      <b/>
      <sz val="11"/>
      <color rgb="FF0000FF"/>
      <name val="Calibri"/>
      <family val="2"/>
      <scheme val="minor"/>
    </font>
    <font>
      <sz val="11"/>
      <color rgb="FF0000FF"/>
      <name val="Calibri"/>
      <family val="2"/>
      <scheme val="minor"/>
    </font>
    <font>
      <b/>
      <sz val="12"/>
      <color indexed="9"/>
      <name val="Arial"/>
      <family val="2"/>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9"/>
      <name val="Arial"/>
      <family val="2"/>
    </font>
    <font>
      <b/>
      <sz val="12"/>
      <color theme="9" tint="-0.249977111117893"/>
      <name val="Arial"/>
      <family val="2"/>
    </font>
    <font>
      <b/>
      <sz val="11"/>
      <color theme="8"/>
      <name val="Arial"/>
      <family val="2"/>
    </font>
    <font>
      <b/>
      <sz val="10"/>
      <color theme="8"/>
      <name val="Arial"/>
      <family val="2"/>
    </font>
    <font>
      <sz val="11"/>
      <color theme="8"/>
      <name val="Calibri"/>
      <family val="2"/>
      <scheme val="minor"/>
    </font>
    <font>
      <sz val="10"/>
      <color theme="8"/>
      <name val="Arial"/>
      <family val="2"/>
    </font>
    <font>
      <b/>
      <sz val="14"/>
      <color indexed="10"/>
      <name val="Arial"/>
      <family val="2"/>
    </font>
    <font>
      <b/>
      <sz val="11"/>
      <color indexed="10"/>
      <name val="Arial"/>
      <family val="2"/>
    </font>
    <font>
      <sz val="8"/>
      <color theme="0" tint="-0.34998626667073579"/>
      <name val="Arial"/>
      <family val="2"/>
    </font>
    <font>
      <b/>
      <sz val="14"/>
      <color theme="0"/>
      <name val="Arial"/>
      <family val="2"/>
    </font>
    <font>
      <b/>
      <sz val="12"/>
      <color theme="9" tint="-0.249977111117893"/>
      <name val="Calibri"/>
      <family val="2"/>
      <scheme val="minor"/>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8"/>
      <name val="Arial"/>
      <family val="2"/>
    </font>
    <font>
      <b/>
      <sz val="22"/>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b/>
      <sz val="14"/>
      <color indexed="10"/>
      <name val="Calibri"/>
      <family val="2"/>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sz val="11"/>
      <color indexed="12"/>
      <name val="Arial"/>
      <family val="2"/>
    </font>
    <font>
      <sz val="12"/>
      <color indexed="12"/>
      <name val="Arial"/>
      <family val="2"/>
    </font>
    <font>
      <b/>
      <sz val="18"/>
      <color rgb="FF20759D"/>
      <name val="Arial"/>
      <family val="2"/>
    </font>
    <font>
      <b/>
      <sz val="16"/>
      <color theme="1"/>
      <name val="Calibri"/>
      <family val="2"/>
      <scheme val="minor"/>
    </font>
    <font>
      <b/>
      <sz val="11"/>
      <color theme="9"/>
      <name val="Calibri"/>
      <family val="2"/>
      <scheme val="minor"/>
    </font>
    <font>
      <sz val="8"/>
      <color indexed="53"/>
      <name val="Arial"/>
      <family val="2"/>
    </font>
    <font>
      <b/>
      <sz val="14"/>
      <color indexed="9"/>
      <name val="Arial"/>
      <family val="2"/>
    </font>
    <font>
      <sz val="12"/>
      <color indexed="9"/>
      <name val="Arial"/>
      <family val="2"/>
    </font>
    <font>
      <b/>
      <sz val="11"/>
      <color rgb="FFFF0000"/>
      <name val="Calibri"/>
      <family val="2"/>
    </font>
    <font>
      <b/>
      <sz val="12"/>
      <color indexed="8"/>
      <name val="Calibri"/>
      <family val="2"/>
    </font>
    <font>
      <b/>
      <sz val="14"/>
      <color indexed="8"/>
      <name val="Calibri"/>
      <family val="2"/>
      <scheme val="minor"/>
    </font>
    <font>
      <b/>
      <sz val="12"/>
      <color rgb="FF0070C0"/>
      <name val="Calibri"/>
      <family val="2"/>
    </font>
    <font>
      <b/>
      <sz val="16"/>
      <color rgb="FFC00000"/>
      <name val="Calibri"/>
      <family val="2"/>
      <scheme val="minor"/>
    </font>
    <font>
      <sz val="12"/>
      <color rgb="FF0070C0"/>
      <name val="Calibri"/>
      <family val="2"/>
    </font>
    <font>
      <b/>
      <sz val="16"/>
      <color rgb="FF0070C0"/>
      <name val="Calibri"/>
      <family val="2"/>
      <scheme val="minor"/>
    </font>
    <font>
      <b/>
      <sz val="14"/>
      <color indexed="8"/>
      <name val="Calibri"/>
      <family val="2"/>
    </font>
    <font>
      <sz val="11"/>
      <color indexed="8"/>
      <name val="Calibri"/>
      <family val="2"/>
      <scheme val="minor"/>
    </font>
    <font>
      <b/>
      <u/>
      <sz val="16"/>
      <color theme="10"/>
      <name val="Calibri"/>
      <family val="2"/>
      <scheme val="minor"/>
    </font>
    <font>
      <b/>
      <sz val="12"/>
      <color theme="5"/>
      <name val="Calibri"/>
      <family val="2"/>
      <scheme val="minor"/>
    </font>
    <font>
      <b/>
      <sz val="18"/>
      <color theme="5"/>
      <name val="Calibri"/>
      <family val="2"/>
      <scheme val="minor"/>
    </font>
    <font>
      <b/>
      <sz val="20"/>
      <color theme="5"/>
      <name val="Calibri"/>
      <family val="2"/>
      <scheme val="minor"/>
    </font>
    <font>
      <b/>
      <sz val="10"/>
      <color rgb="FF339966"/>
      <name val="Calibri"/>
      <family val="2"/>
      <scheme val="minor"/>
    </font>
    <font>
      <b/>
      <sz val="12"/>
      <color rgb="FF339966"/>
      <name val="Calibri"/>
      <family val="2"/>
      <scheme val="minor"/>
    </font>
    <font>
      <b/>
      <sz val="12"/>
      <color rgb="FF7030A0"/>
      <name val="Calibri"/>
      <family val="2"/>
    </font>
    <font>
      <sz val="11"/>
      <name val="Calibri"/>
      <family val="2"/>
      <scheme val="minor"/>
    </font>
    <font>
      <b/>
      <sz val="10"/>
      <name val="Calibri"/>
      <family val="2"/>
      <scheme val="minor"/>
    </font>
    <font>
      <sz val="7"/>
      <name val="Arial"/>
      <family val="2"/>
    </font>
    <font>
      <i/>
      <sz val="14"/>
      <color indexed="9"/>
      <name val="Arial"/>
      <family val="2"/>
    </font>
    <font>
      <u/>
      <sz val="8.5"/>
      <color indexed="48"/>
      <name val="Arial"/>
      <family val="2"/>
    </font>
    <font>
      <sz val="16"/>
      <color indexed="12"/>
      <name val="Arial"/>
      <family val="2"/>
    </font>
    <font>
      <b/>
      <sz val="16"/>
      <color indexed="48"/>
      <name val="Arial"/>
      <family val="2"/>
    </font>
    <font>
      <b/>
      <sz val="12"/>
      <color indexed="53"/>
      <name val="Arial"/>
      <family val="2"/>
    </font>
    <font>
      <b/>
      <sz val="16"/>
      <color indexed="53"/>
      <name val="Arial"/>
      <family val="2"/>
    </font>
    <font>
      <sz val="16"/>
      <color indexed="63"/>
      <name val="Arial"/>
      <family val="2"/>
    </font>
    <font>
      <sz val="10"/>
      <color indexed="10"/>
      <name val="Arial"/>
      <family val="2"/>
    </font>
    <font>
      <i/>
      <sz val="8"/>
      <name val="Arial"/>
      <family val="2"/>
    </font>
    <font>
      <sz val="9"/>
      <color indexed="9"/>
      <name val="Arial"/>
      <family val="2"/>
    </font>
    <font>
      <sz val="18"/>
      <name val="Arial"/>
      <family val="2"/>
    </font>
    <font>
      <i/>
      <sz val="10"/>
      <color indexed="22"/>
      <name val="Arial"/>
      <family val="2"/>
    </font>
    <font>
      <b/>
      <sz val="14"/>
      <color indexed="12"/>
      <name val="Arial"/>
      <family val="2"/>
    </font>
    <font>
      <sz val="10"/>
      <color rgb="FF0070C0"/>
      <name val="Arial"/>
      <family val="2"/>
    </font>
    <font>
      <sz val="7"/>
      <color indexed="22"/>
      <name val="Arial"/>
      <family val="2"/>
    </font>
    <font>
      <b/>
      <i/>
      <sz val="12"/>
      <name val="Arial"/>
      <family val="2"/>
    </font>
    <font>
      <sz val="8"/>
      <color indexed="12"/>
      <name val="Arial"/>
      <family val="2"/>
    </font>
    <font>
      <sz val="8"/>
      <color indexed="10"/>
      <name val="Arial"/>
      <family val="2"/>
    </font>
    <font>
      <b/>
      <sz val="8"/>
      <color indexed="10"/>
      <name val="Arial"/>
      <family val="2"/>
    </font>
    <font>
      <sz val="7"/>
      <color indexed="10"/>
      <name val="Arial"/>
      <family val="2"/>
    </font>
    <font>
      <b/>
      <i/>
      <sz val="12"/>
      <color indexed="10"/>
      <name val="Arial"/>
      <family val="2"/>
    </font>
    <font>
      <b/>
      <sz val="9.5"/>
      <name val="Arial"/>
      <family val="2"/>
    </font>
    <font>
      <sz val="9"/>
      <color indexed="22"/>
      <name val="Arial"/>
      <family val="2"/>
    </font>
    <font>
      <sz val="9"/>
      <name val="Arial"/>
      <family val="2"/>
    </font>
    <font>
      <b/>
      <sz val="18"/>
      <color indexed="9"/>
      <name val="Arial"/>
      <family val="2"/>
    </font>
    <font>
      <sz val="12"/>
      <color indexed="42"/>
      <name val="Arial"/>
      <family val="2"/>
    </font>
    <font>
      <sz val="8"/>
      <color indexed="9"/>
      <name val="Arial"/>
      <family val="2"/>
    </font>
    <font>
      <sz val="10"/>
      <name val="Calibri"/>
      <family val="2"/>
      <scheme val="minor"/>
    </font>
    <font>
      <b/>
      <sz val="11"/>
      <color rgb="FFC00000"/>
      <name val="Calibri"/>
      <family val="2"/>
      <scheme val="minor"/>
    </font>
    <font>
      <b/>
      <sz val="11"/>
      <color rgb="FFFF0000"/>
      <name val="Arial"/>
      <family val="2"/>
    </font>
    <font>
      <b/>
      <sz val="11"/>
      <color rgb="FFC00000"/>
      <name val="Calibri"/>
      <family val="2"/>
    </font>
    <font>
      <b/>
      <sz val="14"/>
      <color rgb="FFC00000"/>
      <name val="Arial"/>
      <family val="2"/>
    </font>
    <font>
      <sz val="9"/>
      <name val="Times New Roman"/>
      <family val="1"/>
    </font>
    <font>
      <sz val="9"/>
      <name val="Times New Roman"/>
      <family val="1"/>
    </font>
    <font>
      <sz val="10"/>
      <color theme="1"/>
      <name val="Bookman Old Style"/>
      <family val="1"/>
    </font>
    <font>
      <b/>
      <u/>
      <sz val="18"/>
      <color theme="10"/>
      <name val="Calibri"/>
      <family val="2"/>
      <scheme val="minor"/>
    </font>
    <font>
      <b/>
      <sz val="8"/>
      <name val="Calibri"/>
      <family val="2"/>
    </font>
    <font>
      <sz val="8"/>
      <color theme="8" tint="0.79998168889431442"/>
      <name val="Calibri"/>
      <family val="2"/>
      <scheme val="minor"/>
    </font>
    <font>
      <b/>
      <sz val="11"/>
      <color theme="8" tint="0.79998168889431442"/>
      <name val="Calibri"/>
      <family val="2"/>
    </font>
    <font>
      <b/>
      <sz val="12"/>
      <color rgb="FFC00000"/>
      <name val="Arial"/>
      <family val="2"/>
    </font>
    <font>
      <b/>
      <sz val="11"/>
      <color rgb="FF0070C0"/>
      <name val="Calibri"/>
      <family val="2"/>
      <scheme val="minor"/>
    </font>
    <font>
      <b/>
      <sz val="18"/>
      <color rgb="FF0070C0"/>
      <name val="Calibri"/>
      <family val="2"/>
      <scheme val="minor"/>
    </font>
    <font>
      <sz val="11"/>
      <color theme="0"/>
      <name val="Calibri"/>
      <family val="2"/>
      <scheme val="minor"/>
    </font>
    <font>
      <sz val="12"/>
      <color theme="1"/>
      <name val="Arial"/>
      <family val="2"/>
    </font>
    <font>
      <u/>
      <sz val="12"/>
      <color theme="10"/>
      <name val="Arial"/>
      <family val="2"/>
    </font>
    <font>
      <b/>
      <sz val="12"/>
      <color theme="1"/>
      <name val="Arial"/>
      <family val="2"/>
    </font>
    <font>
      <sz val="10"/>
      <color theme="0"/>
      <name val="Arial"/>
      <family val="2"/>
    </font>
    <font>
      <b/>
      <sz val="14"/>
      <color theme="0"/>
      <name val="Calibri"/>
      <family val="2"/>
    </font>
    <font>
      <b/>
      <sz val="12"/>
      <color theme="0"/>
      <name val="Calibri"/>
      <family val="2"/>
      <scheme val="minor"/>
    </font>
    <font>
      <b/>
      <sz val="12"/>
      <color rgb="FFCC00FF"/>
      <name val="Calibri"/>
      <family val="2"/>
      <scheme val="minor"/>
    </font>
    <font>
      <b/>
      <sz val="12"/>
      <color rgb="FFCC00FF"/>
      <name val="Arial"/>
      <family val="2"/>
    </font>
    <font>
      <b/>
      <sz val="14"/>
      <color theme="1"/>
      <name val="Calibri"/>
      <family val="2"/>
      <scheme val="minor"/>
    </font>
    <font>
      <sz val="14"/>
      <color theme="1"/>
      <name val="Calibri"/>
      <family val="2"/>
      <scheme val="minor"/>
    </font>
    <font>
      <sz val="14"/>
      <name val="Times New Roman"/>
      <family val="1"/>
    </font>
    <font>
      <b/>
      <sz val="16"/>
      <color theme="0"/>
      <name val="Calibri"/>
      <family val="2"/>
    </font>
    <font>
      <b/>
      <sz val="12"/>
      <color theme="0"/>
      <name val="Calibri"/>
      <family val="2"/>
    </font>
    <font>
      <b/>
      <sz val="14"/>
      <color indexed="36"/>
      <name val="Calibri"/>
      <family val="2"/>
    </font>
    <font>
      <u/>
      <sz val="12"/>
      <color theme="10"/>
      <name val="Calibri"/>
      <family val="2"/>
      <scheme val="minor"/>
    </font>
    <font>
      <b/>
      <sz val="12"/>
      <color rgb="FF0070C0"/>
      <name val="Arial"/>
      <family val="2"/>
    </font>
    <font>
      <b/>
      <sz val="11"/>
      <color theme="0"/>
      <name val="Calibri"/>
      <family val="2"/>
      <scheme val="minor"/>
    </font>
    <font>
      <b/>
      <sz val="16"/>
      <color rgb="FFFF0000"/>
      <name val="Arial"/>
      <family val="2"/>
    </font>
    <font>
      <b/>
      <sz val="18"/>
      <color theme="0"/>
      <name val="Calibri"/>
      <family val="2"/>
      <scheme val="minor"/>
    </font>
    <font>
      <sz val="9"/>
      <name val="Calibri"/>
      <family val="2"/>
      <scheme val="minor"/>
    </font>
    <font>
      <sz val="7"/>
      <color theme="1" tint="0.499984740745262"/>
      <name val="Calibri"/>
      <family val="2"/>
      <scheme val="minor"/>
    </font>
    <font>
      <b/>
      <sz val="22"/>
      <color rgb="FF92D050"/>
      <name val="Verdana"/>
      <family val="2"/>
    </font>
    <font>
      <sz val="22"/>
      <color theme="0"/>
      <name val="Verdana"/>
      <family val="2"/>
    </font>
    <font>
      <sz val="18"/>
      <color rgb="FF7030A0"/>
      <name val="Arial"/>
      <family val="2"/>
    </font>
    <font>
      <u/>
      <sz val="24"/>
      <color indexed="12"/>
      <name val="Arial"/>
      <family val="2"/>
    </font>
    <font>
      <sz val="22"/>
      <color theme="1"/>
      <name val="Verdana"/>
      <family val="2"/>
    </font>
    <font>
      <b/>
      <sz val="22"/>
      <color rgb="FF92D050"/>
      <name val="Arial"/>
      <family val="2"/>
    </font>
    <font>
      <b/>
      <sz val="22"/>
      <color theme="9"/>
      <name val="Arial"/>
      <family val="2"/>
    </font>
    <font>
      <b/>
      <sz val="22"/>
      <color theme="0"/>
      <name val="Arial"/>
      <family val="2"/>
    </font>
    <font>
      <sz val="22"/>
      <color indexed="9"/>
      <name val="Arial"/>
      <family val="2"/>
    </font>
    <font>
      <sz val="22"/>
      <color theme="0"/>
      <name val="Arial"/>
      <family val="2"/>
    </font>
    <font>
      <b/>
      <u/>
      <sz val="14"/>
      <color theme="10"/>
      <name val="Calibri"/>
      <family val="2"/>
      <scheme val="minor"/>
    </font>
    <font>
      <sz val="14"/>
      <color rgb="FFFF0000"/>
      <name val="Wingdings 3"/>
      <family val="1"/>
      <charset val="2"/>
    </font>
    <font>
      <b/>
      <sz val="20"/>
      <color theme="0"/>
      <name val="Calibri"/>
      <family val="2"/>
      <scheme val="minor"/>
    </font>
    <font>
      <b/>
      <sz val="9"/>
      <name val="Bookman Old Style"/>
      <family val="1"/>
    </font>
    <font>
      <b/>
      <sz val="10"/>
      <color rgb="FFFF0000"/>
      <name val="Arial"/>
      <family val="2"/>
    </font>
    <font>
      <b/>
      <sz val="10"/>
      <color indexed="12"/>
      <name val="Calibri"/>
      <family val="2"/>
      <scheme val="minor"/>
    </font>
    <font>
      <b/>
      <sz val="10"/>
      <color rgb="FFFF0000"/>
      <name val="Calibri"/>
      <family val="2"/>
      <scheme val="minor"/>
    </font>
    <font>
      <sz val="11"/>
      <color rgb="FFFF0000"/>
      <name val="Arial"/>
      <family val="2"/>
    </font>
    <font>
      <sz val="11"/>
      <color indexed="12"/>
      <name val="Calibri"/>
      <family val="2"/>
      <scheme val="minor"/>
    </font>
    <font>
      <b/>
      <sz val="16"/>
      <color theme="9" tint="-0.249977111117893"/>
      <name val="Arial"/>
      <family val="2"/>
    </font>
    <font>
      <b/>
      <sz val="11"/>
      <color theme="4" tint="-0.249977111117893"/>
      <name val="Calibri"/>
      <family val="2"/>
      <scheme val="minor"/>
    </font>
    <font>
      <b/>
      <sz val="16"/>
      <color theme="6" tint="-0.249977111117893"/>
      <name val="Arial"/>
      <family val="2"/>
    </font>
    <font>
      <i/>
      <sz val="10"/>
      <name val="Arial"/>
      <family val="2"/>
    </font>
    <font>
      <b/>
      <sz val="11"/>
      <color indexed="57"/>
      <name val="Calibri"/>
      <family val="2"/>
    </font>
    <font>
      <b/>
      <sz val="12"/>
      <color theme="9" tint="-0.249977111117893"/>
      <name val="Calibri"/>
      <family val="2"/>
    </font>
    <font>
      <b/>
      <sz val="11"/>
      <color rgb="FF0070C0"/>
      <name val="Calibri"/>
      <family val="2"/>
    </font>
    <font>
      <i/>
      <sz val="14"/>
      <name val="Arial"/>
      <family val="2"/>
    </font>
    <font>
      <i/>
      <sz val="12"/>
      <name val="Calibri"/>
      <family val="2"/>
      <scheme val="minor"/>
    </font>
    <font>
      <b/>
      <vertAlign val="superscript"/>
      <sz val="12"/>
      <name val="Calibri"/>
      <family val="2"/>
      <scheme val="minor"/>
    </font>
    <font>
      <i/>
      <sz val="14"/>
      <name val="Calibri"/>
      <family val="2"/>
      <scheme val="minor"/>
    </font>
    <font>
      <sz val="16"/>
      <name val="Calibri"/>
      <family val="2"/>
      <scheme val="minor"/>
    </font>
    <font>
      <sz val="16"/>
      <color theme="1"/>
      <name val="Calibri"/>
      <family val="2"/>
      <scheme val="minor"/>
    </font>
    <font>
      <vertAlign val="superscript"/>
      <sz val="14"/>
      <name val="Calibri"/>
      <family val="2"/>
      <scheme val="minor"/>
    </font>
    <font>
      <b/>
      <vertAlign val="superscript"/>
      <sz val="14"/>
      <name val="Calibri"/>
      <family val="2"/>
      <scheme val="minor"/>
    </font>
    <font>
      <b/>
      <i/>
      <sz val="12"/>
      <name val="Calibri"/>
      <family val="2"/>
      <scheme val="minor"/>
    </font>
    <font>
      <b/>
      <u/>
      <sz val="14"/>
      <color rgb="FF800000"/>
      <name val="Calibri"/>
      <family val="2"/>
      <scheme val="minor"/>
    </font>
    <font>
      <u/>
      <sz val="14"/>
      <color theme="10"/>
      <name val="Calibri"/>
      <family val="2"/>
      <scheme val="minor"/>
    </font>
    <font>
      <sz val="12"/>
      <color theme="8" tint="-0.499984740745262"/>
      <name val="Calibri"/>
      <family val="2"/>
      <scheme val="minor"/>
    </font>
    <font>
      <sz val="10"/>
      <name val="Verdana"/>
      <family val="2"/>
    </font>
    <font>
      <sz val="10"/>
      <name val="MS Sans Serif"/>
    </font>
    <font>
      <b/>
      <sz val="22"/>
      <name val="Verdana"/>
      <family val="2"/>
    </font>
    <font>
      <b/>
      <sz val="12"/>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24"/>
      <color indexed="9"/>
      <name val="Wingdings 2"/>
      <family val="1"/>
      <charset val="2"/>
    </font>
    <font>
      <sz val="16"/>
      <color rgb="FFFF0000"/>
      <name val="Arial"/>
      <family val="2"/>
    </font>
    <font>
      <sz val="10"/>
      <color theme="0"/>
      <name val="Calibri"/>
      <family val="2"/>
      <scheme val="minor"/>
    </font>
    <font>
      <sz val="36"/>
      <color rgb="FF0000FF"/>
      <name val="Wingdings"/>
      <charset val="2"/>
    </font>
    <font>
      <sz val="36"/>
      <color rgb="FFFF0000"/>
      <name val="Wingdings 2"/>
      <family val="1"/>
      <charset val="2"/>
    </font>
    <font>
      <b/>
      <sz val="16"/>
      <color theme="0"/>
      <name val="Arial"/>
      <family val="2"/>
    </font>
    <font>
      <sz val="22"/>
      <color theme="0" tint="-0.499984740745262"/>
      <name val="Arial"/>
      <family val="2"/>
    </font>
    <font>
      <sz val="22"/>
      <name val="Arial"/>
      <family val="2"/>
    </font>
    <font>
      <sz val="16"/>
      <color rgb="FF222222"/>
      <name val="Arial"/>
      <family val="2"/>
    </font>
    <font>
      <sz val="16"/>
      <color rgb="FFC00000"/>
      <name val="Arial"/>
      <family val="2"/>
    </font>
    <font>
      <sz val="16"/>
      <color rgb="FF141414"/>
      <name val="Calibri"/>
      <family val="2"/>
      <scheme val="minor"/>
    </font>
    <font>
      <b/>
      <sz val="16"/>
      <color theme="0" tint="-0.499984740745262"/>
      <name val="Arial"/>
      <family val="2"/>
    </font>
    <font>
      <b/>
      <sz val="18"/>
      <name val="Calibri"/>
      <family val="2"/>
      <scheme val="minor"/>
    </font>
    <font>
      <b/>
      <sz val="16"/>
      <color indexed="10"/>
      <name val="Arial"/>
      <family val="2"/>
    </font>
    <font>
      <sz val="10"/>
      <color rgb="FF222222"/>
      <name val="Arial"/>
      <family val="2"/>
    </font>
    <font>
      <sz val="18"/>
      <color theme="7" tint="-0.249977111117893"/>
      <name val="Calibri"/>
      <family val="2"/>
      <scheme val="minor"/>
    </font>
    <font>
      <b/>
      <sz val="16"/>
      <color rgb="FFC00000"/>
      <name val="Wingdings 3"/>
      <family val="1"/>
      <charset val="2"/>
    </font>
    <font>
      <b/>
      <sz val="16"/>
      <color rgb="FFFF0000"/>
      <name val="Wingdings 3"/>
      <family val="1"/>
      <charset val="2"/>
    </font>
    <font>
      <sz val="22"/>
      <color theme="0" tint="-0.499984740745262"/>
      <name val="Wingdings"/>
      <charset val="2"/>
    </font>
    <font>
      <sz val="14"/>
      <color rgb="FF222222"/>
      <name val="Arial"/>
      <family val="2"/>
    </font>
    <font>
      <sz val="24"/>
      <color rgb="FF0000FF"/>
      <name val="Wingdings"/>
      <charset val="2"/>
    </font>
    <font>
      <sz val="16"/>
      <name val="Wingdings 2"/>
      <family val="1"/>
      <charset val="2"/>
    </font>
    <font>
      <sz val="20"/>
      <name val="Arial"/>
      <family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sz val="24"/>
      <color indexed="9"/>
      <name val="ZDingbats"/>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u/>
      <sz val="16"/>
      <color theme="10"/>
      <name val="Calibri"/>
      <family val="2"/>
      <scheme val="minor"/>
    </font>
    <font>
      <b/>
      <u/>
      <sz val="16"/>
      <color indexed="12"/>
      <name val="Calibri"/>
      <family val="2"/>
      <scheme val="minor"/>
    </font>
    <font>
      <sz val="48"/>
      <color rgb="FFFF0000"/>
      <name val="Wingdings 2"/>
      <family val="1"/>
      <charset val="2"/>
    </font>
    <font>
      <sz val="12"/>
      <color rgb="FF800080"/>
      <name val="Calibri"/>
      <family val="2"/>
    </font>
    <font>
      <b/>
      <sz val="12"/>
      <color indexed="36"/>
      <name val="Calibri"/>
      <family val="2"/>
    </font>
    <font>
      <b/>
      <sz val="12"/>
      <color rgb="FFC00000"/>
      <name val="Calibri"/>
      <family val="2"/>
    </font>
    <font>
      <b/>
      <sz val="14"/>
      <color rgb="FF800080"/>
      <name val="Arial"/>
      <family val="2"/>
    </font>
    <font>
      <sz val="11"/>
      <color theme="0" tint="-0.34998626667073579"/>
      <name val="Calibri"/>
      <family val="2"/>
      <scheme val="minor"/>
    </font>
    <font>
      <b/>
      <sz val="14"/>
      <color theme="5"/>
      <name val="Calibri"/>
      <family val="2"/>
      <scheme val="minor"/>
    </font>
    <font>
      <b/>
      <sz val="14"/>
      <color rgb="FF800080"/>
      <name val="Calibri"/>
      <family val="2"/>
    </font>
    <font>
      <b/>
      <sz val="14"/>
      <color rgb="FFC00000"/>
      <name val="Calibri"/>
      <family val="2"/>
    </font>
    <font>
      <b/>
      <sz val="11"/>
      <color rgb="FFCC00FF"/>
      <name val="Calibri"/>
      <family val="2"/>
      <scheme val="minor"/>
    </font>
    <font>
      <sz val="12"/>
      <color theme="3"/>
      <name val="Bookman Old Style"/>
      <family val="1"/>
    </font>
    <font>
      <sz val="12"/>
      <color indexed="10"/>
      <name val="Times New Roman"/>
      <family val="1"/>
    </font>
    <font>
      <sz val="12"/>
      <color indexed="56"/>
      <name val="Bookman Old Style"/>
      <family val="1"/>
    </font>
    <font>
      <sz val="12"/>
      <color theme="3"/>
      <name val="Times New Roman"/>
      <family val="1"/>
    </font>
    <font>
      <sz val="9"/>
      <name val="Bookman Old Style"/>
      <family val="1"/>
    </font>
    <font>
      <sz val="9"/>
      <color rgb="FFFF0000"/>
      <name val="Bookman Old Style"/>
      <family val="1"/>
    </font>
    <font>
      <sz val="9"/>
      <color rgb="FFFF0000"/>
      <name val="Times New Roman"/>
      <family val="1"/>
    </font>
    <font>
      <sz val="14"/>
      <color indexed="10"/>
      <name val="Bookman Old Style"/>
      <family val="1"/>
    </font>
    <font>
      <sz val="14"/>
      <color indexed="12"/>
      <name val="Bookman Old Style"/>
      <family val="1"/>
    </font>
    <font>
      <sz val="14"/>
      <name val="Bookman Old Style"/>
      <family val="1"/>
    </font>
    <font>
      <sz val="12"/>
      <color indexed="12"/>
      <name val="Bookman Old Style"/>
      <family val="1"/>
    </font>
    <font>
      <sz val="12"/>
      <name val="Bookman Old Style"/>
      <family val="1"/>
    </font>
    <font>
      <sz val="12"/>
      <color indexed="10"/>
      <name val="Bookman Old Style"/>
      <family val="1"/>
    </font>
    <font>
      <sz val="12"/>
      <color indexed="17"/>
      <name val="Bookman Old Style"/>
      <family val="1"/>
    </font>
    <font>
      <sz val="12"/>
      <color rgb="FFFF0000"/>
      <name val="Bookman Old Style"/>
      <family val="1"/>
    </font>
    <font>
      <u/>
      <sz val="12"/>
      <color indexed="12"/>
      <name val="Bookman Old Style"/>
      <family val="1"/>
    </font>
    <font>
      <sz val="11"/>
      <color theme="3"/>
      <name val="Bookman Old Style"/>
      <family val="1"/>
    </font>
    <font>
      <sz val="11"/>
      <color indexed="60"/>
      <name val="Times New Roman"/>
      <family val="1"/>
    </font>
    <font>
      <sz val="11"/>
      <color indexed="56"/>
      <name val="Bookman Old Style"/>
      <family val="1"/>
    </font>
    <font>
      <sz val="14"/>
      <color theme="3"/>
      <name val="Times New Roman"/>
      <family val="1"/>
    </font>
    <font>
      <sz val="14"/>
      <color indexed="10"/>
      <name val="Times New Roman"/>
      <family val="1"/>
    </font>
    <font>
      <sz val="14"/>
      <color indexed="56"/>
      <name val="Times New Roman"/>
      <family val="1"/>
    </font>
    <font>
      <sz val="10"/>
      <color indexed="56"/>
      <name val="Times New Roman"/>
      <family val="1"/>
    </font>
    <font>
      <b/>
      <sz val="18"/>
      <color rgb="FF0070C0"/>
      <name val="Bookman Old Style"/>
      <family val="1"/>
    </font>
    <font>
      <sz val="18"/>
      <name val="Bookman Old Style"/>
      <family val="1"/>
    </font>
    <font>
      <b/>
      <sz val="18"/>
      <name val="Bookman Old Style"/>
      <family val="1"/>
    </font>
    <font>
      <b/>
      <u/>
      <sz val="18"/>
      <color theme="10"/>
      <name val="Bookman Old Style"/>
      <family val="1"/>
    </font>
    <font>
      <sz val="8"/>
      <name val="Calibri"/>
      <family val="2"/>
      <scheme val="minor"/>
    </font>
    <font>
      <sz val="10"/>
      <color rgb="FFC00000"/>
      <name val="Calibri"/>
      <family val="2"/>
    </font>
    <font>
      <b/>
      <sz val="8"/>
      <color rgb="FFC00000"/>
      <name val="Arial"/>
      <family val="2"/>
    </font>
    <font>
      <i/>
      <u/>
      <sz val="11"/>
      <color theme="5"/>
      <name val="Calibri"/>
      <family val="2"/>
      <scheme val="minor"/>
    </font>
    <font>
      <sz val="7"/>
      <color theme="5"/>
      <name val="Calibri"/>
      <family val="2"/>
      <scheme val="minor"/>
    </font>
    <font>
      <sz val="26"/>
      <color rgb="FF0000FF"/>
      <name val="Wingdings 3"/>
      <family val="1"/>
      <charset val="2"/>
    </font>
    <font>
      <b/>
      <sz val="14"/>
      <color theme="4"/>
      <name val="Calibri"/>
      <family val="2"/>
      <scheme val="minor"/>
    </font>
    <font>
      <b/>
      <sz val="12"/>
      <color theme="0" tint="-0.499984740745262"/>
      <name val="Calibri"/>
      <family val="2"/>
      <scheme val="minor"/>
    </font>
    <font>
      <b/>
      <sz val="10"/>
      <color rgb="FFC00000"/>
      <name val="Calibri"/>
      <family val="2"/>
    </font>
    <font>
      <b/>
      <sz val="18"/>
      <color rgb="FF800080"/>
      <name val="Calibri"/>
      <family val="2"/>
      <scheme val="minor"/>
    </font>
    <font>
      <b/>
      <sz val="13"/>
      <color rgb="FF800080"/>
      <name val="Calibri"/>
      <family val="2"/>
    </font>
    <font>
      <sz val="12"/>
      <color theme="1" tint="0.499984740745262"/>
      <name val="Calibri"/>
      <family val="2"/>
      <scheme val="minor"/>
    </font>
    <font>
      <b/>
      <sz val="12"/>
      <color rgb="FF800080"/>
      <name val="Calibri"/>
      <family val="2"/>
      <scheme val="minor"/>
    </font>
    <font>
      <b/>
      <sz val="14"/>
      <color rgb="FF800080"/>
      <name val="Calibri"/>
      <family val="2"/>
      <scheme val="minor"/>
    </font>
    <font>
      <sz val="10"/>
      <color theme="8" tint="0.79998168889431442"/>
      <name val="Calibri"/>
      <family val="2"/>
      <scheme val="minor"/>
    </font>
    <font>
      <b/>
      <sz val="10"/>
      <name val="Calibri"/>
      <family val="2"/>
    </font>
    <font>
      <sz val="14"/>
      <name val="Calibri"/>
      <family val="2"/>
    </font>
    <font>
      <b/>
      <sz val="12"/>
      <color rgb="FF4472C4"/>
      <name val="Calibri"/>
      <family val="2"/>
    </font>
    <font>
      <b/>
      <sz val="11"/>
      <color rgb="FF800080"/>
      <name val="Calibri"/>
      <family val="2"/>
    </font>
    <font>
      <b/>
      <sz val="12"/>
      <color theme="8"/>
      <name val="Calibri"/>
      <family val="2"/>
    </font>
    <font>
      <sz val="11"/>
      <color rgb="FF339966"/>
      <name val="Calibri"/>
      <family val="2"/>
      <scheme val="minor"/>
    </font>
    <font>
      <b/>
      <sz val="11"/>
      <color indexed="8"/>
      <name val="Calibri"/>
      <family val="2"/>
      <scheme val="minor"/>
    </font>
    <font>
      <sz val="12"/>
      <color rgb="FF339966"/>
      <name val="Calibri"/>
      <family val="2"/>
      <scheme val="minor"/>
    </font>
    <font>
      <b/>
      <sz val="12"/>
      <color theme="4"/>
      <name val="Calibri"/>
      <family val="2"/>
      <scheme val="minor"/>
    </font>
    <font>
      <b/>
      <sz val="12"/>
      <color theme="4"/>
      <name val="Calibri"/>
      <family val="2"/>
    </font>
    <font>
      <sz val="11"/>
      <color theme="4"/>
      <name val="Calibri"/>
      <family val="2"/>
      <scheme val="minor"/>
    </font>
    <font>
      <b/>
      <sz val="12"/>
      <color theme="5"/>
      <name val="Calibri"/>
      <family val="2"/>
    </font>
    <font>
      <sz val="12"/>
      <color theme="5"/>
      <name val="Calibri"/>
      <family val="2"/>
    </font>
    <font>
      <sz val="11"/>
      <color theme="5"/>
      <name val="Calibri"/>
      <family val="2"/>
      <scheme val="minor"/>
    </font>
    <font>
      <b/>
      <sz val="10"/>
      <color indexed="57"/>
      <name val="Calibri"/>
      <family val="2"/>
    </font>
    <font>
      <b/>
      <sz val="20"/>
      <color rgb="FF0070C0"/>
      <name val="Arial"/>
      <family val="2"/>
    </font>
    <font>
      <b/>
      <sz val="14"/>
      <name val="Bookman Old Style"/>
      <family val="1"/>
    </font>
    <font>
      <b/>
      <sz val="12"/>
      <color theme="0" tint="-0.34998626667073579"/>
      <name val="Calibri"/>
      <family val="2"/>
      <scheme val="minor"/>
    </font>
    <font>
      <b/>
      <sz val="10"/>
      <color rgb="FF0070C0"/>
      <name val="Calibri"/>
      <family val="2"/>
      <scheme val="minor"/>
    </font>
    <font>
      <b/>
      <sz val="20"/>
      <name val="Calibri"/>
      <family val="2"/>
      <scheme val="minor"/>
    </font>
    <font>
      <b/>
      <sz val="16"/>
      <color rgb="FF4472C4"/>
      <name val="Calibri"/>
      <family val="2"/>
      <scheme val="minor"/>
    </font>
    <font>
      <b/>
      <sz val="12"/>
      <color theme="8"/>
      <name val="Calibri"/>
      <family val="2"/>
      <scheme val="minor"/>
    </font>
    <font>
      <b/>
      <sz val="11"/>
      <color indexed="36"/>
      <name val="Calibri"/>
      <family val="2"/>
    </font>
    <font>
      <sz val="16"/>
      <color theme="7" tint="-0.249977111117893"/>
      <name val="Calibri"/>
      <family val="2"/>
      <scheme val="minor"/>
    </font>
    <font>
      <sz val="22"/>
      <color indexed="9"/>
      <name val="Wingdings"/>
      <charset val="2"/>
    </font>
    <font>
      <sz val="18"/>
      <color theme="0" tint="-0.499984740745262"/>
      <name val="Wingdings"/>
      <charset val="2"/>
    </font>
    <font>
      <b/>
      <u/>
      <sz val="16"/>
      <color indexed="12"/>
      <name val="Arial"/>
      <family val="2"/>
    </font>
    <font>
      <u/>
      <sz val="16"/>
      <color indexed="12"/>
      <name val="Arial"/>
      <family val="2"/>
    </font>
    <font>
      <b/>
      <sz val="16"/>
      <color theme="0"/>
      <name val="Calibri"/>
      <family val="2"/>
      <scheme val="minor"/>
    </font>
    <font>
      <b/>
      <sz val="12"/>
      <name val="Tahoma"/>
      <family val="2"/>
    </font>
    <font>
      <sz val="9"/>
      <color indexed="10"/>
      <name val="Arial"/>
      <family val="2"/>
    </font>
    <font>
      <sz val="9"/>
      <color indexed="12"/>
      <name val="Arial"/>
      <family val="2"/>
    </font>
    <font>
      <i/>
      <sz val="7"/>
      <name val="Arial"/>
      <family val="2"/>
    </font>
    <font>
      <i/>
      <sz val="12"/>
      <color indexed="9"/>
      <name val="Arial"/>
      <family val="2"/>
    </font>
    <font>
      <i/>
      <sz val="10"/>
      <color theme="5"/>
      <name val="Calibri"/>
      <family val="2"/>
      <scheme val="minor"/>
    </font>
    <font>
      <b/>
      <sz val="10"/>
      <color rgb="FFC00000"/>
      <name val="Arial"/>
      <family val="2"/>
    </font>
    <font>
      <b/>
      <sz val="11"/>
      <color rgb="FFC00000"/>
      <name val="Arial"/>
      <family val="2"/>
    </font>
    <font>
      <sz val="8"/>
      <name val="Times New Roman"/>
      <family val="1"/>
    </font>
    <font>
      <b/>
      <sz val="11"/>
      <color indexed="17"/>
      <name val="Arial"/>
      <family val="2"/>
    </font>
    <font>
      <sz val="10"/>
      <color indexed="17"/>
      <name val="Arial"/>
      <family val="2"/>
    </font>
    <font>
      <b/>
      <sz val="11"/>
      <color indexed="48"/>
      <name val="Arial"/>
      <family val="2"/>
    </font>
    <font>
      <b/>
      <vertAlign val="superscript"/>
      <sz val="12"/>
      <color indexed="17"/>
      <name val="Arial"/>
      <family val="2"/>
    </font>
    <font>
      <b/>
      <sz val="12"/>
      <color indexed="17"/>
      <name val="Arial"/>
      <family val="2"/>
    </font>
    <font>
      <vertAlign val="superscript"/>
      <sz val="12"/>
      <name val="Arial"/>
      <family val="2"/>
    </font>
    <font>
      <b/>
      <vertAlign val="superscript"/>
      <sz val="12"/>
      <name val="Arial"/>
      <family val="2"/>
    </font>
    <font>
      <b/>
      <sz val="9"/>
      <color indexed="10"/>
      <name val="Arial"/>
      <family val="2"/>
    </font>
    <font>
      <b/>
      <sz val="14"/>
      <color indexed="12"/>
      <name val="Calibri"/>
      <family val="2"/>
      <scheme val="minor"/>
    </font>
    <font>
      <sz val="14"/>
      <color indexed="12"/>
      <name val="Calibri"/>
      <family val="2"/>
      <scheme val="minor"/>
    </font>
    <font>
      <b/>
      <sz val="14"/>
      <color indexed="10"/>
      <name val="Calibri"/>
      <family val="2"/>
      <scheme val="minor"/>
    </font>
    <font>
      <b/>
      <sz val="20"/>
      <color rgb="FF0070C0"/>
      <name val="Calibri"/>
      <family val="2"/>
      <scheme val="minor"/>
    </font>
    <font>
      <b/>
      <sz val="18"/>
      <color theme="1" tint="0.499984740745262"/>
      <name val="Calibri"/>
      <family val="2"/>
      <scheme val="minor"/>
    </font>
    <font>
      <sz val="26"/>
      <color theme="1" tint="0.499984740745262"/>
      <name val="Marlett"/>
      <charset val="2"/>
    </font>
    <font>
      <sz val="14"/>
      <color theme="1" tint="0.499984740745262"/>
      <name val="Calibri"/>
      <family val="2"/>
      <scheme val="minor"/>
    </font>
    <font>
      <b/>
      <sz val="16"/>
      <color theme="1" tint="0.499984740745262"/>
      <name val="Calibri"/>
      <family val="2"/>
      <scheme val="minor"/>
    </font>
    <font>
      <b/>
      <sz val="16"/>
      <color theme="1" tint="0.499984740745262"/>
      <name val="Calibri"/>
      <family val="2"/>
    </font>
    <font>
      <b/>
      <sz val="10"/>
      <color rgb="FF7030A0"/>
      <name val="Calibri"/>
      <family val="2"/>
    </font>
    <font>
      <b/>
      <sz val="12"/>
      <color indexed="8"/>
      <name val="Arial"/>
      <family val="2"/>
    </font>
    <font>
      <sz val="14"/>
      <color indexed="8"/>
      <name val="Calibri"/>
      <family val="2"/>
      <scheme val="minor"/>
    </font>
    <font>
      <sz val="14"/>
      <color rgb="FF0070C0"/>
      <name val="Calibri"/>
      <family val="2"/>
      <scheme val="minor"/>
    </font>
    <font>
      <b/>
      <sz val="12"/>
      <color indexed="8"/>
      <name val="Calibri"/>
      <family val="2"/>
      <scheme val="minor"/>
    </font>
    <font>
      <i/>
      <sz val="14"/>
      <color indexed="8"/>
      <name val="Calibri"/>
      <family val="2"/>
      <scheme val="minor"/>
    </font>
    <font>
      <b/>
      <i/>
      <sz val="12"/>
      <color indexed="57"/>
      <name val="Calibri"/>
      <family val="2"/>
    </font>
    <font>
      <i/>
      <sz val="10"/>
      <color indexed="57"/>
      <name val="Calibri"/>
      <family val="2"/>
    </font>
    <font>
      <i/>
      <sz val="12"/>
      <color indexed="57"/>
      <name val="Calibri"/>
      <family val="2"/>
    </font>
    <font>
      <i/>
      <sz val="16"/>
      <color indexed="8"/>
      <name val="Calibri"/>
      <family val="2"/>
      <scheme val="minor"/>
    </font>
    <font>
      <i/>
      <sz val="14"/>
      <name val="Calibri"/>
      <family val="2"/>
    </font>
    <font>
      <sz val="12"/>
      <color indexed="36"/>
      <name val="Calibri"/>
      <family val="2"/>
      <scheme val="minor"/>
    </font>
    <font>
      <b/>
      <sz val="14"/>
      <color rgb="FF0000FF"/>
      <name val="Calibri"/>
      <family val="2"/>
    </font>
    <font>
      <b/>
      <sz val="10"/>
      <color rgb="FF0000FF"/>
      <name val="Calibri"/>
      <family val="2"/>
      <scheme val="minor"/>
    </font>
    <font>
      <b/>
      <sz val="36"/>
      <color theme="1"/>
      <name val="Calibri"/>
      <family val="2"/>
      <scheme val="minor"/>
    </font>
    <font>
      <b/>
      <sz val="16"/>
      <color rgb="FF0000FF"/>
      <name val="Calibri"/>
      <family val="2"/>
      <scheme val="minor"/>
    </font>
    <font>
      <b/>
      <sz val="28"/>
      <color theme="1"/>
      <name val="Calibri"/>
      <family val="2"/>
      <scheme val="minor"/>
    </font>
    <font>
      <b/>
      <sz val="18"/>
      <color rgb="FF0000FF"/>
      <name val="Calibri"/>
      <family val="2"/>
      <scheme val="minor"/>
    </font>
    <font>
      <b/>
      <sz val="14"/>
      <color rgb="FF0070C0"/>
      <name val="Bookman Old Style"/>
      <family val="1"/>
    </font>
    <font>
      <b/>
      <u/>
      <sz val="14"/>
      <color theme="10"/>
      <name val="Bookman Old Style"/>
      <family val="1"/>
    </font>
    <font>
      <b/>
      <i/>
      <sz val="18"/>
      <color theme="1" tint="0.499984740745262"/>
      <name val="Calibri"/>
      <family val="2"/>
      <scheme val="minor"/>
    </font>
    <font>
      <b/>
      <sz val="9"/>
      <color theme="1"/>
      <name val="Calibri"/>
      <family val="2"/>
      <scheme val="minor"/>
    </font>
    <font>
      <b/>
      <i/>
      <sz val="16"/>
      <color theme="1"/>
      <name val="Calibri"/>
      <family val="2"/>
      <scheme val="minor"/>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u/>
      <sz val="10"/>
      <color theme="10"/>
      <name val="Arial"/>
      <family val="2"/>
    </font>
    <font>
      <b/>
      <sz val="14"/>
      <color rgb="FF363636"/>
      <name val="Calibri"/>
      <family val="2"/>
      <scheme val="minor"/>
    </font>
    <font>
      <sz val="9"/>
      <color theme="1"/>
      <name val="Calibri"/>
      <family val="2"/>
      <scheme val="minor"/>
    </font>
    <font>
      <sz val="18"/>
      <color theme="0"/>
      <name val="Calibri"/>
      <family val="2"/>
      <scheme val="minor"/>
    </font>
    <font>
      <u/>
      <sz val="11"/>
      <color theme="10"/>
      <name val="Arial"/>
      <family val="2"/>
    </font>
    <font>
      <sz val="11"/>
      <color theme="0"/>
      <name val="Arial"/>
      <family val="2"/>
    </font>
    <font>
      <sz val="14"/>
      <color rgb="FF254A75"/>
      <name val="Tahoma"/>
      <family val="2"/>
    </font>
    <font>
      <b/>
      <sz val="12"/>
      <color theme="4" tint="-0.499984740745262"/>
      <name val="Calibri"/>
      <family val="2"/>
      <scheme val="minor"/>
    </font>
    <font>
      <b/>
      <u/>
      <sz val="12"/>
      <color theme="4" tint="-0.249977111117893"/>
      <name val="Calibri"/>
      <family val="2"/>
      <scheme val="minor"/>
    </font>
    <font>
      <u/>
      <sz val="11"/>
      <name val="Arial"/>
      <family val="2"/>
    </font>
    <font>
      <b/>
      <sz val="16"/>
      <color rgb="FF254A75"/>
      <name val="Tahoma"/>
      <family val="2"/>
    </font>
    <font>
      <b/>
      <sz val="10"/>
      <color theme="9" tint="-0.249977111117893"/>
      <name val="Calibri"/>
      <family val="2"/>
      <scheme val="minor"/>
    </font>
    <font>
      <b/>
      <sz val="10"/>
      <color theme="8" tint="-0.249977111117893"/>
      <name val="Calibri"/>
      <family val="2"/>
      <scheme val="minor"/>
    </font>
    <font>
      <sz val="10"/>
      <color theme="5" tint="-0.249977111117893"/>
      <name val="Calibri"/>
      <family val="2"/>
      <scheme val="minor"/>
    </font>
    <font>
      <b/>
      <sz val="10"/>
      <color rgb="FF7030A0"/>
      <name val="Calibri"/>
      <family val="2"/>
      <scheme val="minor"/>
    </font>
    <font>
      <b/>
      <u/>
      <sz val="9"/>
      <color theme="10"/>
      <name val="Calibri"/>
      <family val="2"/>
      <scheme val="minor"/>
    </font>
    <font>
      <b/>
      <sz val="11"/>
      <color theme="0"/>
      <name val="Arial"/>
      <family val="2"/>
    </font>
    <font>
      <sz val="10"/>
      <color rgb="FF000000"/>
      <name val="Arial"/>
      <family val="2"/>
    </font>
    <font>
      <sz val="18"/>
      <color rgb="FF000000"/>
      <name val="Georgia"/>
      <family val="1"/>
    </font>
    <font>
      <sz val="11"/>
      <color rgb="FF252525"/>
      <name val="Arial"/>
      <family val="2"/>
    </font>
    <font>
      <i/>
      <sz val="8"/>
      <color theme="0" tint="-0.499984740745262"/>
      <name val="Calibri"/>
      <family val="2"/>
      <scheme val="minor"/>
    </font>
    <font>
      <b/>
      <i/>
      <sz val="11"/>
      <color rgb="FFFF0000"/>
      <name val="Calibri"/>
      <family val="2"/>
      <scheme val="minor"/>
    </font>
    <font>
      <b/>
      <sz val="14"/>
      <color rgb="FF7030A0"/>
      <name val="Calibri"/>
      <family val="2"/>
      <scheme val="minor"/>
    </font>
    <font>
      <b/>
      <sz val="11"/>
      <color rgb="FF7030A0"/>
      <name val="Calibri"/>
      <family val="2"/>
      <scheme val="minor"/>
    </font>
    <font>
      <b/>
      <sz val="9"/>
      <color rgb="FF7030A0"/>
      <name val="Calibri"/>
      <family val="2"/>
      <scheme val="minor"/>
    </font>
    <font>
      <b/>
      <sz val="14"/>
      <color theme="8" tint="-0.249977111117893"/>
      <name val="Calibri"/>
      <family val="2"/>
      <scheme val="minor"/>
    </font>
    <font>
      <b/>
      <sz val="8"/>
      <name val="Calibri"/>
      <family val="2"/>
      <scheme val="minor"/>
    </font>
    <font>
      <sz val="11"/>
      <color rgb="FFC00000"/>
      <name val="Calibri"/>
      <family val="2"/>
      <scheme val="minor"/>
    </font>
    <font>
      <b/>
      <sz val="8"/>
      <color theme="4" tint="-0.249977111117893"/>
      <name val="Calibri"/>
      <family val="2"/>
      <scheme val="minor"/>
    </font>
    <font>
      <sz val="11"/>
      <color theme="8" tint="-0.249977111117893"/>
      <name val="Calibri"/>
      <family val="2"/>
      <scheme val="minor"/>
    </font>
    <font>
      <i/>
      <sz val="11"/>
      <name val="Calibri"/>
      <family val="2"/>
      <scheme val="minor"/>
    </font>
    <font>
      <b/>
      <sz val="12"/>
      <color theme="9" tint="-0.499984740745262"/>
      <name val="Calibri"/>
      <family val="2"/>
      <scheme val="minor"/>
    </font>
    <font>
      <b/>
      <sz val="14"/>
      <color rgb="FF002060"/>
      <name val="Calibri"/>
      <family val="2"/>
      <scheme val="minor"/>
    </font>
    <font>
      <b/>
      <sz val="14"/>
      <color theme="3"/>
      <name val="Calibri"/>
      <family val="2"/>
      <scheme val="minor"/>
    </font>
    <font>
      <b/>
      <sz val="10"/>
      <color rgb="FF002060"/>
      <name val="Calibri"/>
      <family val="2"/>
      <scheme val="minor"/>
    </font>
    <font>
      <sz val="12"/>
      <color rgb="FFC00000"/>
      <name val="Wingdings 3"/>
      <family val="1"/>
      <charset val="2"/>
    </font>
    <font>
      <i/>
      <sz val="9"/>
      <name val="Calibri"/>
      <family val="2"/>
      <scheme val="minor"/>
    </font>
    <font>
      <b/>
      <sz val="12"/>
      <color theme="4" tint="-0.249977111117893"/>
      <name val="Calibri"/>
      <family val="2"/>
      <scheme val="minor"/>
    </font>
    <font>
      <b/>
      <sz val="14"/>
      <color rgb="FFFF0000"/>
      <name val="Wingdings 3"/>
      <family val="1"/>
      <charset val="2"/>
    </font>
    <font>
      <sz val="9"/>
      <color rgb="FF002060"/>
      <name val="Calibri"/>
      <family val="2"/>
      <scheme val="minor"/>
    </font>
    <font>
      <sz val="12"/>
      <color theme="7" tint="-0.249977111117893"/>
      <name val="Calibri"/>
      <family val="2"/>
      <scheme val="minor"/>
    </font>
    <font>
      <b/>
      <sz val="14"/>
      <color theme="4" tint="-0.249977111117893"/>
      <name val="Calibri"/>
      <family val="2"/>
      <scheme val="minor"/>
    </font>
    <font>
      <b/>
      <i/>
      <sz val="12"/>
      <color theme="0" tint="-0.499984740745262"/>
      <name val="Calibri"/>
      <family val="2"/>
      <scheme val="minor"/>
    </font>
    <font>
      <b/>
      <sz val="12"/>
      <color theme="1" tint="0.34998626667073579"/>
      <name val="Calibri"/>
      <family val="2"/>
      <scheme val="minor"/>
    </font>
    <font>
      <sz val="12"/>
      <color rgb="FF002060"/>
      <name val="Calibri"/>
      <family val="2"/>
      <scheme val="minor"/>
    </font>
    <font>
      <sz val="12"/>
      <color rgb="FFC00000"/>
      <name val="Calibri"/>
      <family val="2"/>
      <scheme val="minor"/>
    </font>
    <font>
      <b/>
      <sz val="12"/>
      <color theme="5" tint="-0.249977111117893"/>
      <name val="Calibri"/>
      <family val="2"/>
      <scheme val="minor"/>
    </font>
    <font>
      <b/>
      <sz val="12"/>
      <color rgb="FF002060"/>
      <name val="Calibri"/>
      <family val="2"/>
      <scheme val="minor"/>
    </font>
    <font>
      <sz val="14"/>
      <color rgb="FF333333"/>
      <name val="Calibri"/>
      <family val="2"/>
      <scheme val="minor"/>
    </font>
    <font>
      <sz val="14"/>
      <color rgb="FF5FA900"/>
      <name val="Calibri"/>
      <family val="2"/>
      <scheme val="minor"/>
    </font>
    <font>
      <sz val="11"/>
      <color rgb="FF333333"/>
      <name val="Segoe UI"/>
      <family val="2"/>
    </font>
    <font>
      <sz val="12"/>
      <color rgb="FF333333"/>
      <name val="Segoe UI"/>
      <family val="2"/>
    </font>
    <font>
      <b/>
      <sz val="11"/>
      <color rgb="FFFF0000"/>
      <name val="Segoe UI"/>
      <family val="2"/>
    </font>
    <font>
      <sz val="24"/>
      <name val="Arial"/>
      <family val="2"/>
    </font>
    <font>
      <b/>
      <sz val="25"/>
      <name val="Arial"/>
      <family val="2"/>
    </font>
    <font>
      <b/>
      <sz val="2"/>
      <name val="Arial"/>
      <family val="2"/>
    </font>
    <font>
      <b/>
      <sz val="30"/>
      <name val="Arial"/>
      <family val="2"/>
    </font>
    <font>
      <b/>
      <sz val="16"/>
      <color indexed="12"/>
      <name val="Arial"/>
      <family val="2"/>
    </font>
    <font>
      <b/>
      <i/>
      <sz val="14"/>
      <name val="Arial"/>
      <family val="2"/>
    </font>
    <font>
      <b/>
      <i/>
      <sz val="16"/>
      <name val="Arial"/>
      <family val="2"/>
    </font>
    <font>
      <b/>
      <sz val="10"/>
      <color indexed="60"/>
      <name val="Arial"/>
      <family val="2"/>
    </font>
    <font>
      <b/>
      <sz val="12"/>
      <color indexed="60"/>
      <name val="Arial"/>
      <family val="2"/>
    </font>
    <font>
      <sz val="26"/>
      <name val="Arial"/>
      <family val="2"/>
    </font>
    <font>
      <b/>
      <sz val="16"/>
      <color theme="5"/>
      <name val="Calibri"/>
      <family val="2"/>
      <scheme val="minor"/>
    </font>
    <font>
      <b/>
      <sz val="12"/>
      <color theme="3"/>
      <name val="Calibri"/>
      <family val="2"/>
      <scheme val="minor"/>
    </font>
    <font>
      <sz val="12"/>
      <color rgb="FF000000"/>
      <name val="Calibri"/>
      <family val="2"/>
      <scheme val="minor"/>
    </font>
    <font>
      <sz val="12"/>
      <color indexed="10"/>
      <name val="Calibri"/>
      <family val="2"/>
      <scheme val="minor"/>
    </font>
    <font>
      <sz val="12"/>
      <color theme="9" tint="-0.249977111117893"/>
      <name val="Calibri"/>
      <family val="2"/>
      <scheme val="minor"/>
    </font>
    <font>
      <sz val="12"/>
      <color rgb="FFFF0000"/>
      <name val="Calibri"/>
      <family val="2"/>
      <scheme val="minor"/>
    </font>
    <font>
      <sz val="11"/>
      <color theme="9" tint="-0.249977111117893"/>
      <name val="Calibri"/>
      <family val="2"/>
      <scheme val="minor"/>
    </font>
    <font>
      <u/>
      <sz val="14"/>
      <color indexed="12"/>
      <name val="Arial"/>
      <family val="2"/>
    </font>
  </fonts>
  <fills count="121">
    <fill>
      <patternFill patternType="none"/>
    </fill>
    <fill>
      <patternFill patternType="gray125"/>
    </fill>
    <fill>
      <patternFill patternType="solid">
        <fgColor rgb="FFFFFFCC"/>
        <bgColor indexed="64"/>
      </patternFill>
    </fill>
    <fill>
      <patternFill patternType="lightUp">
        <fgColor indexed="9"/>
        <bgColor rgb="FFFFFFCC"/>
      </patternFill>
    </fill>
    <fill>
      <patternFill patternType="solid">
        <fgColor theme="0"/>
        <bgColor indexed="64"/>
      </patternFill>
    </fill>
    <fill>
      <patternFill patternType="lightUp">
        <fgColor indexed="9"/>
        <bgColor theme="8" tint="0.79998168889431442"/>
      </patternFill>
    </fill>
    <fill>
      <patternFill patternType="solid">
        <fgColor indexed="47"/>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50"/>
      </patternFill>
    </fill>
    <fill>
      <patternFill patternType="solid">
        <fgColor theme="4" tint="0.79998168889431442"/>
        <bgColor indexed="50"/>
      </patternFill>
    </fill>
    <fill>
      <patternFill patternType="solid">
        <fgColor theme="8" tint="0.79998168889431442"/>
        <bgColor indexed="64"/>
      </patternFill>
    </fill>
    <fill>
      <patternFill patternType="solid">
        <fgColor rgb="FFFFCC99"/>
        <bgColor indexed="64"/>
      </patternFill>
    </fill>
    <fill>
      <patternFill patternType="solid">
        <fgColor theme="4" tint="0.79998168889431442"/>
        <bgColor indexed="64"/>
      </patternFill>
    </fill>
    <fill>
      <patternFill patternType="lightUp">
        <fgColor indexed="9"/>
        <bgColor theme="8" tint="0.79989013336588644"/>
      </patternFill>
    </fill>
    <fill>
      <patternFill patternType="lightUp">
        <fgColor indexed="9"/>
        <bgColor indexed="47"/>
      </patternFill>
    </fill>
    <fill>
      <patternFill patternType="lightGrid">
        <fgColor indexed="9"/>
        <bgColor theme="8" tint="0.79998168889431442"/>
      </patternFill>
    </fill>
    <fill>
      <patternFill patternType="lightUp">
        <fgColor indexed="9"/>
        <bgColor theme="0" tint="-0.14999847407452621"/>
      </patternFill>
    </fill>
    <fill>
      <patternFill patternType="solid">
        <fgColor indexed="9"/>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theme="0" tint="-0.14999847407452621"/>
        <bgColor indexed="64"/>
      </patternFill>
    </fill>
    <fill>
      <patternFill patternType="solid">
        <fgColor rgb="FF7030A0"/>
        <bgColor indexed="64"/>
      </patternFill>
    </fill>
    <fill>
      <patternFill patternType="solid">
        <fgColor theme="0"/>
        <bgColor indexed="9"/>
      </patternFill>
    </fill>
    <fill>
      <patternFill patternType="solid">
        <fgColor indexed="26"/>
        <bgColor indexed="64"/>
      </patternFill>
    </fill>
    <fill>
      <patternFill patternType="solid">
        <fgColor theme="2"/>
        <bgColor indexed="64"/>
      </patternFill>
    </fill>
    <fill>
      <patternFill patternType="solid">
        <fgColor rgb="FF00B0F0"/>
        <bgColor indexed="64"/>
      </patternFill>
    </fill>
    <fill>
      <patternFill patternType="lightUp">
        <fgColor indexed="9"/>
        <bgColor rgb="FFFFFF99"/>
      </patternFill>
    </fill>
    <fill>
      <patternFill patternType="solid">
        <fgColor indexed="36"/>
        <bgColor indexed="50"/>
      </patternFill>
    </fill>
    <fill>
      <patternFill patternType="solid">
        <fgColor rgb="FFFF0000"/>
        <bgColor indexed="64"/>
      </patternFill>
    </fill>
    <fill>
      <patternFill patternType="solid">
        <fgColor theme="4"/>
        <bgColor indexed="50"/>
      </patternFill>
    </fill>
    <fill>
      <patternFill patternType="solid">
        <fgColor theme="4"/>
        <bgColor indexed="64"/>
      </patternFill>
    </fill>
    <fill>
      <patternFill patternType="lightGrid">
        <fgColor indexed="9"/>
        <bgColor rgb="FFFFFF00"/>
      </patternFill>
    </fill>
    <fill>
      <patternFill patternType="solid">
        <fgColor theme="9" tint="0.59999389629810485"/>
        <bgColor indexed="64"/>
      </patternFill>
    </fill>
    <fill>
      <patternFill patternType="solid">
        <fgColor rgb="FFFF660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indexed="43"/>
        <bgColor indexed="64"/>
      </patternFill>
    </fill>
    <fill>
      <patternFill patternType="solid">
        <fgColor indexed="53"/>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indexed="65"/>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indexed="22"/>
        <bgColor indexed="64"/>
      </patternFill>
    </fill>
    <fill>
      <patternFill patternType="solid">
        <fgColor indexed="50"/>
        <bgColor indexed="64"/>
      </patternFill>
    </fill>
    <fill>
      <patternFill patternType="lightUp">
        <fgColor indexed="9"/>
        <bgColor rgb="FF92D050"/>
      </patternFill>
    </fill>
    <fill>
      <patternFill patternType="lightUp">
        <fgColor indexed="9"/>
        <bgColor indexed="50"/>
      </patternFill>
    </fill>
    <fill>
      <patternFill patternType="solid">
        <fgColor rgb="FFCC99FF"/>
        <bgColor indexed="64"/>
      </patternFill>
    </fill>
    <fill>
      <patternFill patternType="solid">
        <fgColor indexed="12"/>
        <bgColor indexed="64"/>
      </patternFill>
    </fill>
    <fill>
      <patternFill patternType="solid">
        <fgColor indexed="46"/>
        <bgColor indexed="64"/>
      </patternFill>
    </fill>
    <fill>
      <patternFill patternType="solid">
        <fgColor indexed="11"/>
        <bgColor indexed="64"/>
      </patternFill>
    </fill>
    <fill>
      <patternFill patternType="lightUp">
        <fgColor indexed="9"/>
        <bgColor theme="0" tint="-0.34998626667073579"/>
      </patternFill>
    </fill>
    <fill>
      <patternFill patternType="solid">
        <fgColor indexed="9"/>
        <bgColor indexed="41"/>
      </patternFill>
    </fill>
    <fill>
      <patternFill patternType="solid">
        <fgColor indexed="26"/>
        <bgColor indexed="9"/>
      </patternFill>
    </fill>
    <fill>
      <patternFill patternType="solid">
        <fgColor rgb="FF339966"/>
        <bgColor indexed="15"/>
      </patternFill>
    </fill>
    <fill>
      <patternFill patternType="solid">
        <fgColor indexed="10"/>
        <bgColor indexed="60"/>
      </patternFill>
    </fill>
    <fill>
      <patternFill patternType="solid">
        <fgColor rgb="FF99CC00"/>
        <bgColor indexed="15"/>
      </patternFill>
    </fill>
    <fill>
      <patternFill patternType="solid">
        <fgColor indexed="8"/>
        <bgColor indexed="58"/>
      </patternFill>
    </fill>
    <fill>
      <patternFill patternType="solid">
        <fgColor indexed="12"/>
        <bgColor indexed="39"/>
      </patternFill>
    </fill>
    <fill>
      <patternFill patternType="solid">
        <fgColor indexed="42"/>
        <bgColor indexed="27"/>
      </patternFill>
    </fill>
    <fill>
      <patternFill patternType="solid">
        <fgColor theme="0"/>
        <bgColor indexed="42"/>
      </patternFill>
    </fill>
    <fill>
      <patternFill patternType="solid">
        <fgColor indexed="27"/>
        <bgColor indexed="42"/>
      </patternFill>
    </fill>
    <fill>
      <patternFill patternType="solid">
        <fgColor indexed="22"/>
        <bgColor indexed="31"/>
      </patternFill>
    </fill>
    <fill>
      <patternFill patternType="solid">
        <fgColor indexed="11"/>
        <bgColor indexed="49"/>
      </patternFill>
    </fill>
    <fill>
      <patternFill patternType="solid">
        <fgColor indexed="53"/>
        <bgColor indexed="52"/>
      </patternFill>
    </fill>
    <fill>
      <patternFill patternType="solid">
        <fgColor indexed="41"/>
        <bgColor indexed="9"/>
      </patternFill>
    </fill>
    <fill>
      <patternFill patternType="solid">
        <fgColor theme="7" tint="0.79998168889431442"/>
        <bgColor indexed="64"/>
      </patternFill>
    </fill>
    <fill>
      <patternFill patternType="lightUp">
        <fgColor theme="0"/>
        <bgColor theme="8" tint="0.79995117038483843"/>
      </patternFill>
    </fill>
    <fill>
      <patternFill patternType="lightGrid">
        <fgColor theme="0"/>
        <bgColor theme="8" tint="0.79998168889431442"/>
      </patternFill>
    </fill>
    <fill>
      <patternFill patternType="lightGrid">
        <fgColor theme="0"/>
        <bgColor theme="8" tint="0.79989013336588644"/>
      </patternFill>
    </fill>
    <fill>
      <patternFill patternType="solid">
        <fgColor theme="8" tint="0.79995117038483843"/>
        <bgColor theme="0"/>
      </patternFill>
    </fill>
    <fill>
      <patternFill patternType="solid">
        <fgColor theme="8" tint="0.79995117038483843"/>
        <bgColor indexed="9"/>
      </patternFill>
    </fill>
    <fill>
      <patternFill patternType="lightUp">
        <fgColor theme="0"/>
        <bgColor rgb="FFFFCC99"/>
      </patternFill>
    </fill>
    <fill>
      <patternFill patternType="solid">
        <fgColor rgb="FFCC00FF"/>
        <bgColor indexed="64"/>
      </patternFill>
    </fill>
    <fill>
      <patternFill patternType="solid">
        <fgColor theme="5"/>
        <bgColor indexed="64"/>
      </patternFill>
    </fill>
    <fill>
      <patternFill patternType="solid">
        <fgColor theme="4" tint="0.59999389629810485"/>
        <bgColor indexed="64"/>
      </patternFill>
    </fill>
    <fill>
      <patternFill patternType="solid">
        <fgColor rgb="FF25C6FF"/>
        <bgColor indexed="64"/>
      </patternFill>
    </fill>
    <fill>
      <patternFill patternType="solid">
        <fgColor rgb="FF25C6FF"/>
        <bgColor theme="0"/>
      </patternFill>
    </fill>
    <fill>
      <patternFill patternType="solid">
        <fgColor theme="9" tint="0.39997558519241921"/>
        <bgColor indexed="64"/>
      </patternFill>
    </fill>
    <fill>
      <patternFill patternType="solid">
        <fgColor rgb="FF0000FF"/>
        <bgColor indexed="64"/>
      </patternFill>
    </fill>
    <fill>
      <patternFill patternType="solid">
        <fgColor rgb="FFD9E1F2"/>
        <bgColor indexed="64"/>
      </patternFill>
    </fill>
    <fill>
      <patternFill patternType="solid">
        <fgColor indexed="8"/>
        <bgColor indexed="64"/>
      </patternFill>
    </fill>
    <fill>
      <patternFill patternType="solid">
        <fgColor indexed="13"/>
        <bgColor indexed="64"/>
      </patternFill>
    </fill>
    <fill>
      <patternFill patternType="solid">
        <fgColor theme="7" tint="0.39997558519241921"/>
        <bgColor indexed="64"/>
      </patternFill>
    </fill>
    <fill>
      <patternFill patternType="solid">
        <fgColor theme="7" tint="-0.249977111117893"/>
        <bgColor indexed="64"/>
      </patternFill>
    </fill>
    <fill>
      <patternFill patternType="solid">
        <fgColor rgb="FFC000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7"/>
        <bgColor indexed="64"/>
      </patternFill>
    </fill>
    <fill>
      <patternFill patternType="solid">
        <fgColor theme="1"/>
        <bgColor indexed="64"/>
      </patternFill>
    </fill>
    <fill>
      <patternFill patternType="solid">
        <fgColor rgb="FF00B0F0"/>
        <bgColor indexed="9"/>
      </patternFill>
    </fill>
    <fill>
      <patternFill patternType="solid">
        <fgColor theme="4" tint="0.79998168889431442"/>
        <bgColor indexed="9"/>
      </patternFill>
    </fill>
    <fill>
      <patternFill patternType="gray0625">
        <fgColor theme="0"/>
        <bgColor rgb="FF7030A0"/>
      </patternFill>
    </fill>
    <fill>
      <patternFill patternType="solid">
        <fgColor rgb="FFFFCDCD"/>
        <bgColor indexed="64"/>
      </patternFill>
    </fill>
    <fill>
      <patternFill patternType="solid">
        <fgColor rgb="FF800080"/>
        <bgColor indexed="64"/>
      </patternFill>
    </fill>
    <fill>
      <patternFill patternType="gray0625"/>
    </fill>
    <fill>
      <patternFill patternType="solid">
        <fgColor theme="0" tint="-0.14999847407452621"/>
        <bgColor theme="0"/>
      </patternFill>
    </fill>
    <fill>
      <patternFill patternType="solid">
        <fgColor theme="0" tint="-0.14993743705557422"/>
        <bgColor indexed="64"/>
      </patternFill>
    </fill>
    <fill>
      <patternFill patternType="solid">
        <fgColor indexed="31"/>
        <bgColor indexed="64"/>
      </patternFill>
    </fill>
    <fill>
      <patternFill patternType="solid">
        <fgColor indexed="23"/>
        <bgColor indexed="64"/>
      </patternFill>
    </fill>
    <fill>
      <patternFill patternType="solid">
        <fgColor rgb="FF8BE1FF"/>
        <bgColor indexed="64"/>
      </patternFill>
    </fill>
    <fill>
      <patternFill patternType="solid">
        <fgColor rgb="FF8BE1FF"/>
        <bgColor theme="0"/>
      </patternFill>
    </fill>
    <fill>
      <patternFill patternType="solid">
        <fgColor theme="7" tint="0.79998168889431442"/>
        <bgColor indexed="9"/>
      </patternFill>
    </fill>
    <fill>
      <patternFill patternType="solid">
        <fgColor rgb="FFFFFFCC"/>
        <bgColor indexed="9"/>
      </patternFill>
    </fill>
    <fill>
      <patternFill patternType="lightUp">
        <fgColor indexed="9"/>
        <bgColor theme="0"/>
      </patternFill>
    </fill>
    <fill>
      <patternFill patternType="lightUp">
        <fgColor indexed="9"/>
        <bgColor theme="2" tint="-0.249977111117893"/>
      </patternFill>
    </fill>
    <fill>
      <patternFill patternType="lightUp">
        <fgColor theme="0"/>
        <bgColor theme="2" tint="-0.249977111117893"/>
      </patternFill>
    </fill>
    <fill>
      <patternFill patternType="solid">
        <fgColor theme="2" tint="-0.249977111117893"/>
        <bgColor indexed="64"/>
      </patternFill>
    </fill>
    <fill>
      <patternFill patternType="solid">
        <fgColor rgb="FFFFFF66"/>
        <bgColor indexed="64"/>
      </patternFill>
    </fill>
    <fill>
      <patternFill patternType="solid">
        <fgColor rgb="FFFFFFFF"/>
        <bgColor indexed="64"/>
      </patternFill>
    </fill>
    <fill>
      <patternFill patternType="solid">
        <fgColor rgb="FFF3F3F3"/>
        <bgColor indexed="64"/>
      </patternFill>
    </fill>
    <fill>
      <patternFill patternType="solid">
        <fgColor theme="0" tint="-0.249977111117893"/>
        <bgColor indexed="34"/>
      </patternFill>
    </fill>
    <fill>
      <patternFill patternType="solid">
        <fgColor theme="0"/>
        <bgColor indexed="34"/>
      </patternFill>
    </fill>
    <fill>
      <patternFill patternType="solid">
        <fgColor theme="0" tint="-0.34998626667073579"/>
        <bgColor indexed="34"/>
      </patternFill>
    </fill>
    <fill>
      <patternFill patternType="solid">
        <fgColor indexed="9"/>
        <bgColor indexed="9"/>
      </patternFill>
    </fill>
    <fill>
      <patternFill patternType="solid">
        <fgColor theme="9" tint="0.79998168889431442"/>
        <bgColor theme="9" tint="0.79998168889431442"/>
      </patternFill>
    </fill>
  </fills>
  <borders count="413">
    <border>
      <left/>
      <right/>
      <top/>
      <bottom/>
      <diagonal/>
    </border>
    <border>
      <left/>
      <right/>
      <top/>
      <bottom style="medium">
        <color auto="1"/>
      </bottom>
      <diagonal/>
    </border>
    <border>
      <left/>
      <right style="medium">
        <color auto="1"/>
      </right>
      <top style="thin">
        <color auto="1"/>
      </top>
      <bottom/>
      <diagonal/>
    </border>
    <border>
      <left/>
      <right/>
      <top style="thin">
        <color auto="1"/>
      </top>
      <bottom/>
      <diagonal/>
    </border>
    <border>
      <left/>
      <right/>
      <top/>
      <bottom style="thin">
        <color auto="1"/>
      </bottom>
      <diagonal/>
    </border>
    <border>
      <left/>
      <right style="medium">
        <color indexed="64"/>
      </right>
      <top/>
      <bottom/>
      <diagonal/>
    </border>
    <border>
      <left style="medium">
        <color indexed="64"/>
      </left>
      <right/>
      <top/>
      <bottom/>
      <diagonal/>
    </border>
    <border>
      <left/>
      <right style="thin">
        <color auto="1"/>
      </right>
      <top/>
      <bottom style="thin">
        <color auto="1"/>
      </bottom>
      <diagonal/>
    </border>
    <border>
      <left/>
      <right style="medium">
        <color auto="1"/>
      </right>
      <top style="medium">
        <color auto="1"/>
      </top>
      <bottom/>
      <diagonal/>
    </border>
    <border>
      <left/>
      <right/>
      <top style="medium">
        <color auto="1"/>
      </top>
      <bottom/>
      <diagonal/>
    </border>
    <border>
      <left/>
      <right style="thin">
        <color auto="1"/>
      </right>
      <top/>
      <bottom/>
      <diagonal/>
    </border>
    <border>
      <left style="thin">
        <color auto="1"/>
      </left>
      <right/>
      <top/>
      <bottom/>
      <diagonal/>
    </border>
    <border>
      <left/>
      <right style="thin">
        <color auto="1"/>
      </right>
      <top style="thin">
        <color auto="1"/>
      </top>
      <bottom/>
      <diagonal/>
    </border>
    <border>
      <left style="thin">
        <color auto="1"/>
      </left>
      <right/>
      <top style="thin">
        <color auto="1"/>
      </top>
      <bottom/>
      <diagonal/>
    </border>
    <border>
      <left style="thin">
        <color indexed="64"/>
      </left>
      <right/>
      <top style="thin">
        <color indexed="64"/>
      </top>
      <bottom style="thin">
        <color auto="1"/>
      </bottom>
      <diagonal/>
    </border>
    <border>
      <left/>
      <right style="medium">
        <color indexed="64"/>
      </right>
      <top style="dashDot">
        <color indexed="64"/>
      </top>
      <bottom style="dashDot">
        <color indexed="64"/>
      </bottom>
      <diagonal/>
    </border>
    <border>
      <left/>
      <right/>
      <top style="dashDot">
        <color indexed="64"/>
      </top>
      <bottom style="dashDot">
        <color indexed="64"/>
      </bottom>
      <diagonal/>
    </border>
    <border>
      <left style="medium">
        <color indexed="64"/>
      </left>
      <right/>
      <top style="dashDot">
        <color indexed="64"/>
      </top>
      <bottom style="dashDot">
        <color indexed="64"/>
      </bottom>
      <diagonal/>
    </border>
    <border>
      <left/>
      <right/>
      <top/>
      <bottom style="hair">
        <color auto="1"/>
      </bottom>
      <diagonal/>
    </border>
    <border>
      <left/>
      <right/>
      <top style="hair">
        <color indexed="64"/>
      </top>
      <bottom style="hair">
        <color indexed="64"/>
      </bottom>
      <diagonal/>
    </border>
    <border>
      <left style="thin">
        <color auto="1"/>
      </left>
      <right/>
      <top/>
      <bottom style="hair">
        <color auto="1"/>
      </bottom>
      <diagonal/>
    </border>
    <border>
      <left/>
      <right style="dashed">
        <color indexed="64"/>
      </right>
      <top/>
      <bottom/>
      <diagonal/>
    </border>
    <border>
      <left/>
      <right style="medium">
        <color indexed="64"/>
      </right>
      <top/>
      <bottom style="dashDot">
        <color indexed="64"/>
      </bottom>
      <diagonal/>
    </border>
    <border>
      <left/>
      <right/>
      <top/>
      <bottom style="dashDot">
        <color indexed="64"/>
      </bottom>
      <diagonal/>
    </border>
    <border>
      <left style="medium">
        <color indexed="64"/>
      </left>
      <right/>
      <top/>
      <bottom style="dashDot">
        <color indexed="64"/>
      </bottom>
      <diagonal/>
    </border>
    <border>
      <left/>
      <right style="medium">
        <color indexed="64"/>
      </right>
      <top style="mediumDashed">
        <color indexed="64"/>
      </top>
      <bottom/>
      <diagonal/>
    </border>
    <border>
      <left/>
      <right/>
      <top style="mediumDashed">
        <color indexed="64"/>
      </top>
      <bottom/>
      <diagonal/>
    </border>
    <border>
      <left style="medium">
        <color indexed="64"/>
      </left>
      <right/>
      <top style="mediumDashed">
        <color indexed="64"/>
      </top>
      <bottom/>
      <diagonal/>
    </border>
    <border>
      <left/>
      <right style="thin">
        <color auto="1"/>
      </right>
      <top/>
      <bottom style="dashed">
        <color auto="1"/>
      </bottom>
      <diagonal/>
    </border>
    <border>
      <left/>
      <right/>
      <top/>
      <bottom style="dashed">
        <color indexed="64"/>
      </bottom>
      <diagonal/>
    </border>
    <border>
      <left/>
      <right style="thin">
        <color auto="1"/>
      </right>
      <top/>
      <bottom style="hair">
        <color auto="1"/>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hair">
        <color indexed="64"/>
      </top>
      <bottom style="hair">
        <color indexed="64"/>
      </bottom>
      <diagonal/>
    </border>
    <border>
      <left style="medium">
        <color indexed="64"/>
      </left>
      <right/>
      <top/>
      <bottom style="hair">
        <color indexed="12"/>
      </bottom>
      <diagonal/>
    </border>
    <border>
      <left/>
      <right/>
      <top/>
      <bottom style="hair">
        <color indexed="12"/>
      </bottom>
      <diagonal/>
    </border>
    <border>
      <left/>
      <right style="medium">
        <color indexed="64"/>
      </right>
      <top/>
      <bottom style="hair">
        <color indexed="12"/>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style="hair">
        <color indexed="64"/>
      </right>
      <top/>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right style="hair">
        <color indexed="12"/>
      </right>
      <top/>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right/>
      <top style="medium">
        <color rgb="FF0070C0"/>
      </top>
      <bottom/>
      <diagonal/>
    </border>
    <border>
      <left style="medium">
        <color auto="1"/>
      </left>
      <right/>
      <top style="medium">
        <color auto="1"/>
      </top>
      <bottom/>
      <diagonal/>
    </border>
    <border>
      <left style="hair">
        <color auto="1"/>
      </left>
      <right style="hair">
        <color auto="1"/>
      </right>
      <top/>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hair">
        <color indexed="64"/>
      </left>
      <right style="hair">
        <color indexed="64"/>
      </right>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rgb="FF0070C0"/>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style="thin">
        <color indexed="16"/>
      </left>
      <right/>
      <top style="thin">
        <color indexed="16"/>
      </top>
      <bottom/>
      <diagonal/>
    </border>
    <border>
      <left/>
      <right/>
      <top style="thin">
        <color indexed="16"/>
      </top>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style="thin">
        <color indexed="16"/>
      </left>
      <right/>
      <top style="thin">
        <color indexed="16"/>
      </top>
      <bottom style="hair">
        <color indexed="16"/>
      </bottom>
      <diagonal/>
    </border>
    <border>
      <left/>
      <right style="thin">
        <color indexed="16"/>
      </right>
      <top style="thin">
        <color indexed="16"/>
      </top>
      <bottom/>
      <diagonal/>
    </border>
    <border>
      <left style="hair">
        <color indexed="8"/>
      </left>
      <right/>
      <top/>
      <bottom/>
      <diagonal/>
    </border>
    <border>
      <left style="thin">
        <color indexed="16"/>
      </left>
      <right/>
      <top/>
      <bottom/>
      <diagonal/>
    </border>
    <border>
      <left style="thin">
        <color indexed="16"/>
      </left>
      <right/>
      <top/>
      <bottom style="hair">
        <color indexed="16"/>
      </bottom>
      <diagonal/>
    </border>
    <border>
      <left/>
      <right style="thin">
        <color indexed="16"/>
      </right>
      <top/>
      <bottom style="hair">
        <color indexed="16"/>
      </bottom>
      <diagonal/>
    </border>
    <border>
      <left style="hair">
        <color indexed="8"/>
      </left>
      <right style="hair">
        <color indexed="8"/>
      </right>
      <top/>
      <bottom/>
      <diagonal/>
    </border>
    <border>
      <left style="hair">
        <color indexed="16"/>
      </left>
      <right style="thin">
        <color indexed="16"/>
      </right>
      <top style="thin">
        <color indexed="16"/>
      </top>
      <bottom/>
      <diagonal/>
    </border>
    <border>
      <left/>
      <right/>
      <top/>
      <bottom style="hair">
        <color indexed="16"/>
      </bottom>
      <diagonal/>
    </border>
    <border>
      <left style="thin">
        <color indexed="16"/>
      </left>
      <right/>
      <top/>
      <bottom style="thin">
        <color indexed="16"/>
      </bottom>
      <diagonal/>
    </border>
    <border>
      <left/>
      <right/>
      <top/>
      <bottom style="thin">
        <color indexed="16"/>
      </bottom>
      <diagonal/>
    </border>
    <border>
      <left style="hair">
        <color indexed="16"/>
      </left>
      <right style="thin">
        <color indexed="16"/>
      </right>
      <top/>
      <bottom style="thin">
        <color indexed="16"/>
      </bottom>
      <diagonal/>
    </border>
    <border>
      <left/>
      <right/>
      <top/>
      <bottom style="thin">
        <color indexed="12"/>
      </bottom>
      <diagonal/>
    </border>
    <border>
      <left/>
      <right style="thin">
        <color indexed="16"/>
      </right>
      <top/>
      <bottom/>
      <diagonal/>
    </border>
    <border>
      <left style="thin">
        <color indexed="16"/>
      </left>
      <right style="hair">
        <color indexed="8"/>
      </right>
      <top style="hair">
        <color indexed="8"/>
      </top>
      <bottom style="hair">
        <color indexed="8"/>
      </bottom>
      <diagonal/>
    </border>
    <border>
      <left style="hair">
        <color indexed="8"/>
      </left>
      <right style="thin">
        <color indexed="12"/>
      </right>
      <top/>
      <bottom style="hair">
        <color indexed="8"/>
      </bottom>
      <diagonal/>
    </border>
    <border>
      <left style="thin">
        <color indexed="12"/>
      </left>
      <right style="thin">
        <color indexed="12"/>
      </right>
      <top style="thin">
        <color indexed="12"/>
      </top>
      <bottom style="thin">
        <color indexed="12"/>
      </bottom>
      <diagonal/>
    </border>
    <border>
      <left style="thin">
        <color indexed="12"/>
      </left>
      <right/>
      <top/>
      <bottom style="hair">
        <color indexed="8"/>
      </bottom>
      <diagonal/>
    </border>
    <border>
      <left/>
      <right style="thin">
        <color indexed="12"/>
      </right>
      <top/>
      <bottom style="hair">
        <color indexed="8"/>
      </bottom>
      <diagonal/>
    </border>
    <border>
      <left style="hair">
        <color indexed="16"/>
      </left>
      <right style="hair">
        <color indexed="16"/>
      </right>
      <top/>
      <bottom style="hair">
        <color indexed="8"/>
      </bottom>
      <diagonal/>
    </border>
    <border>
      <left/>
      <right/>
      <top/>
      <bottom style="hair">
        <color indexed="8"/>
      </bottom>
      <diagonal/>
    </border>
    <border>
      <left/>
      <right style="thin">
        <color indexed="16"/>
      </right>
      <top/>
      <bottom style="hair">
        <color indexed="8"/>
      </bottom>
      <diagonal/>
    </border>
    <border>
      <left style="thin">
        <color indexed="16"/>
      </left>
      <right style="hair">
        <color indexed="8"/>
      </right>
      <top/>
      <bottom/>
      <diagonal/>
    </border>
    <border>
      <left/>
      <right style="hair">
        <color indexed="16"/>
      </right>
      <top/>
      <bottom/>
      <diagonal/>
    </border>
    <border>
      <left style="hair">
        <color indexed="16"/>
      </left>
      <right style="hair">
        <color indexed="16"/>
      </right>
      <top/>
      <bottom/>
      <diagonal/>
    </border>
    <border>
      <left style="hair">
        <color indexed="8"/>
      </left>
      <right style="hair">
        <color indexed="8"/>
      </right>
      <top/>
      <bottom style="hair">
        <color indexed="8"/>
      </bottom>
      <diagonal/>
    </border>
    <border>
      <left style="thin">
        <color indexed="16"/>
      </left>
      <right/>
      <top style="hair">
        <color indexed="8"/>
      </top>
      <bottom/>
      <diagonal/>
    </border>
    <border>
      <left style="hair">
        <color indexed="16"/>
      </left>
      <right/>
      <top/>
      <bottom/>
      <diagonal/>
    </border>
    <border>
      <left style="thin">
        <color indexed="16"/>
      </left>
      <right/>
      <top style="thin">
        <color indexed="16"/>
      </top>
      <bottom style="thin">
        <color indexed="16"/>
      </bottom>
      <diagonal/>
    </border>
    <border>
      <left style="hair">
        <color indexed="8"/>
      </left>
      <right/>
      <top/>
      <bottom/>
      <diagonal/>
    </border>
    <border>
      <left style="thin">
        <color indexed="16"/>
      </left>
      <right style="thin">
        <color indexed="16"/>
      </right>
      <top style="thin">
        <color indexed="16"/>
      </top>
      <bottom/>
      <diagonal/>
    </border>
    <border>
      <left style="hair">
        <color indexed="8"/>
      </left>
      <right/>
      <top style="hair">
        <color indexed="8"/>
      </top>
      <bottom style="hair">
        <color indexed="8"/>
      </bottom>
      <diagonal/>
    </border>
    <border>
      <left/>
      <right style="hair">
        <color indexed="8"/>
      </right>
      <top style="hair">
        <color indexed="8"/>
      </top>
      <bottom style="hair">
        <color indexed="8"/>
      </bottom>
      <diagonal/>
    </border>
    <border>
      <left/>
      <right/>
      <top style="thin">
        <color indexed="8"/>
      </top>
      <bottom/>
      <diagonal/>
    </border>
    <border>
      <left/>
      <right style="hair">
        <color indexed="8"/>
      </right>
      <top/>
      <bottom/>
      <diagonal/>
    </border>
    <border>
      <left style="hair">
        <color indexed="8"/>
      </left>
      <right style="hair">
        <color indexed="8"/>
      </right>
      <top style="hair">
        <color indexed="8"/>
      </top>
      <bottom style="hair">
        <color indexed="8"/>
      </bottom>
      <diagonal/>
    </border>
    <border>
      <left/>
      <right/>
      <top style="hair">
        <color indexed="8"/>
      </top>
      <bottom/>
      <diagonal/>
    </border>
    <border>
      <left style="hair">
        <color indexed="8"/>
      </left>
      <right/>
      <top style="hair">
        <color indexed="8"/>
      </top>
      <bottom style="thin">
        <color indexed="16"/>
      </bottom>
      <diagonal/>
    </border>
    <border>
      <left/>
      <right style="hair">
        <color indexed="8"/>
      </right>
      <top style="hair">
        <color indexed="8"/>
      </top>
      <bottom style="thin">
        <color indexed="16"/>
      </bottom>
      <diagonal/>
    </border>
    <border>
      <left/>
      <right style="thin">
        <color indexed="16"/>
      </right>
      <top/>
      <bottom style="thin">
        <color indexed="16"/>
      </bottom>
      <diagonal/>
    </border>
    <border>
      <left style="thin">
        <color indexed="8"/>
      </left>
      <right/>
      <top style="thin">
        <color indexed="16"/>
      </top>
      <bottom style="hair">
        <color indexed="8"/>
      </bottom>
      <diagonal/>
    </border>
    <border>
      <left/>
      <right/>
      <top style="thin">
        <color indexed="16"/>
      </top>
      <bottom style="hair">
        <color indexed="8"/>
      </bottom>
      <diagonal/>
    </border>
    <border>
      <left/>
      <right style="thin">
        <color indexed="8"/>
      </right>
      <top style="thin">
        <color indexed="16"/>
      </top>
      <bottom style="hair">
        <color indexed="8"/>
      </bottom>
      <diagonal/>
    </border>
    <border>
      <left style="thin">
        <color indexed="8"/>
      </left>
      <right style="hair">
        <color indexed="8"/>
      </right>
      <top/>
      <bottom/>
      <diagonal/>
    </border>
    <border>
      <left/>
      <right style="thin">
        <color indexed="8"/>
      </right>
      <top/>
      <bottom/>
      <diagonal/>
    </border>
    <border>
      <left style="thin">
        <color indexed="8"/>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style="hair">
        <color indexed="12"/>
      </bottom>
      <diagonal/>
    </border>
    <border>
      <left/>
      <right style="thin">
        <color indexed="8"/>
      </right>
      <top style="thin">
        <color indexed="8"/>
      </top>
      <bottom/>
      <diagonal/>
    </border>
    <border>
      <left style="thin">
        <color indexed="8"/>
      </left>
      <right/>
      <top/>
      <bottom/>
      <diagonal/>
    </border>
    <border>
      <left style="hair">
        <color indexed="12"/>
      </left>
      <right style="hair">
        <color indexed="12"/>
      </right>
      <top style="hair">
        <color indexed="12"/>
      </top>
      <bottom style="hair">
        <color indexed="12"/>
      </bottom>
      <diagonal/>
    </border>
    <border>
      <left style="hair">
        <color indexed="12"/>
      </left>
      <right style="hair">
        <color indexed="12"/>
      </right>
      <top/>
      <bottom style="hair">
        <color indexed="12"/>
      </bottom>
      <diagonal/>
    </border>
    <border>
      <left style="hair">
        <color indexed="12"/>
      </left>
      <right/>
      <top style="hair">
        <color indexed="12"/>
      </top>
      <bottom/>
      <diagonal/>
    </border>
    <border>
      <left/>
      <right style="hair">
        <color indexed="12"/>
      </right>
      <top style="hair">
        <color indexed="12"/>
      </top>
      <bottom/>
      <diagonal/>
    </border>
    <border>
      <left/>
      <right/>
      <top style="hair">
        <color indexed="12"/>
      </top>
      <bottom/>
      <diagonal/>
    </border>
    <border>
      <left style="hair">
        <color indexed="12"/>
      </left>
      <right style="hair">
        <color indexed="12"/>
      </right>
      <top/>
      <bottom/>
      <diagonal/>
    </border>
    <border>
      <left style="hair">
        <color indexed="8"/>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hair">
        <color indexed="8"/>
      </top>
      <bottom/>
      <diagonal/>
    </border>
    <border>
      <left style="hair">
        <color indexed="8"/>
      </left>
      <right/>
      <top style="hair">
        <color indexed="8"/>
      </top>
      <bottom style="thin">
        <color indexed="16"/>
      </bottom>
      <diagonal/>
    </border>
    <border>
      <left/>
      <right style="hair">
        <color indexed="8"/>
      </right>
      <top style="hair">
        <color indexed="8"/>
      </top>
      <bottom style="thin">
        <color indexed="16"/>
      </bottom>
      <diagonal/>
    </border>
    <border>
      <left style="hair">
        <color indexed="16"/>
      </left>
      <right/>
      <top style="hair">
        <color indexed="16"/>
      </top>
      <bottom/>
      <diagonal/>
    </border>
    <border>
      <left/>
      <right/>
      <top style="hair">
        <color indexed="16"/>
      </top>
      <bottom/>
      <diagonal/>
    </border>
    <border>
      <left style="thin">
        <color indexed="16"/>
      </left>
      <right/>
      <top style="hair">
        <color indexed="16"/>
      </top>
      <bottom/>
      <diagonal/>
    </border>
    <border>
      <left style="hair">
        <color indexed="16"/>
      </left>
      <right/>
      <top/>
      <bottom style="thin">
        <color indexed="16"/>
      </bottom>
      <diagonal/>
    </border>
    <border>
      <left/>
      <right style="medium">
        <color auto="1"/>
      </right>
      <top/>
      <bottom style="hair">
        <color auto="1"/>
      </bottom>
      <diagonal/>
    </border>
    <border>
      <left style="thin">
        <color indexed="64"/>
      </left>
      <right/>
      <top/>
      <bottom/>
      <diagonal/>
    </border>
    <border>
      <left/>
      <right/>
      <top/>
      <bottom style="hair">
        <color indexed="64"/>
      </bottom>
      <diagonal/>
    </border>
    <border>
      <left/>
      <right style="hair">
        <color indexed="64"/>
      </right>
      <top/>
      <bottom style="hair">
        <color indexed="64"/>
      </bottom>
      <diagonal/>
    </border>
    <border>
      <left style="thin">
        <color indexed="64"/>
      </left>
      <right/>
      <top/>
      <bottom style="hair">
        <color indexed="64"/>
      </bottom>
      <diagonal/>
    </border>
    <border>
      <left/>
      <right/>
      <top style="hair">
        <color auto="1"/>
      </top>
      <bottom style="hair">
        <color auto="1"/>
      </bottom>
      <diagonal/>
    </border>
    <border>
      <left/>
      <right style="medium">
        <color auto="1"/>
      </right>
      <top/>
      <bottom style="medium">
        <color auto="1"/>
      </bottom>
      <diagonal/>
    </border>
    <border>
      <left style="medium">
        <color auto="1"/>
      </left>
      <right/>
      <top/>
      <bottom style="medium">
        <color auto="1"/>
      </bottom>
      <diagonal/>
    </border>
    <border>
      <left style="thin">
        <color indexed="64"/>
      </left>
      <right/>
      <top style="thin">
        <color indexed="64"/>
      </top>
      <bottom/>
      <diagonal/>
    </border>
    <border>
      <left/>
      <right style="medium">
        <color auto="1"/>
      </right>
      <top style="thin">
        <color indexed="64"/>
      </top>
      <bottom/>
      <diagonal/>
    </border>
    <border>
      <left style="medium">
        <color indexed="64"/>
      </left>
      <right style="medium">
        <color indexed="64"/>
      </right>
      <top style="medium">
        <color indexed="64"/>
      </top>
      <bottom style="dashDot">
        <color indexed="64"/>
      </bottom>
      <diagonal/>
    </border>
    <border>
      <left style="medium">
        <color indexed="64"/>
      </left>
      <right style="medium">
        <color indexed="64"/>
      </right>
      <top style="dashDot">
        <color indexed="64"/>
      </top>
      <bottom style="medium">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auto="1"/>
      </right>
      <top/>
      <bottom style="thin">
        <color indexed="64"/>
      </bottom>
      <diagonal/>
    </border>
    <border>
      <left style="medium">
        <color indexed="64"/>
      </left>
      <right/>
      <top style="dashDot">
        <color indexed="64"/>
      </top>
      <bottom/>
      <diagonal/>
    </border>
    <border>
      <left/>
      <right style="medium">
        <color indexed="64"/>
      </right>
      <top style="dashDot">
        <color indexed="64"/>
      </top>
      <bottom/>
      <diagonal/>
    </border>
    <border>
      <left/>
      <right style="hair">
        <color theme="1" tint="0.499984740745262"/>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n">
        <color indexed="8"/>
      </left>
      <right style="thick">
        <color indexed="8"/>
      </right>
      <top style="thin">
        <color indexed="8"/>
      </top>
      <bottom style="thin">
        <color indexed="8"/>
      </bottom>
      <diagonal/>
    </border>
    <border>
      <left style="thin">
        <color indexed="8"/>
      </left>
      <right style="thin">
        <color indexed="8"/>
      </right>
      <top style="thin">
        <color indexed="8"/>
      </top>
      <bottom style="thick">
        <color indexed="8"/>
      </bottom>
      <diagonal/>
    </border>
    <border>
      <left style="thin">
        <color indexed="8"/>
      </left>
      <right style="thick">
        <color indexed="8"/>
      </right>
      <top style="thin">
        <color indexed="8"/>
      </top>
      <bottom style="thick">
        <color indexed="8"/>
      </bottom>
      <diagonal/>
    </border>
    <border>
      <left style="thick">
        <color indexed="8"/>
      </left>
      <right/>
      <top style="thick">
        <color indexed="8"/>
      </top>
      <bottom/>
      <diagonal/>
    </border>
    <border>
      <left style="thick">
        <color indexed="8"/>
      </left>
      <right/>
      <top/>
      <bottom style="thin">
        <color indexed="8"/>
      </bottom>
      <diagonal/>
    </border>
    <border>
      <left style="thick">
        <color indexed="8"/>
      </left>
      <right/>
      <top style="thin">
        <color indexed="8"/>
      </top>
      <bottom style="thin">
        <color indexed="8"/>
      </bottom>
      <diagonal/>
    </border>
    <border>
      <left style="thick">
        <color indexed="8"/>
      </left>
      <right/>
      <top style="thin">
        <color indexed="8"/>
      </top>
      <bottom style="thick">
        <color indexed="8"/>
      </bottom>
      <diagonal/>
    </border>
    <border>
      <left/>
      <right style="thin">
        <color indexed="8"/>
      </right>
      <top style="thin">
        <color indexed="8"/>
      </top>
      <bottom style="thick">
        <color indexed="8"/>
      </bottom>
      <diagonal/>
    </border>
    <border>
      <left style="thin">
        <color indexed="8"/>
      </left>
      <right style="thin">
        <color indexed="8"/>
      </right>
      <top style="thick">
        <color indexed="8"/>
      </top>
      <bottom style="thin">
        <color indexed="8"/>
      </bottom>
      <diagonal/>
    </border>
    <border>
      <left/>
      <right/>
      <top style="hair">
        <color indexed="64"/>
      </top>
      <bottom/>
      <diagonal/>
    </border>
    <border>
      <left style="medium">
        <color auto="1"/>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diagonal/>
    </border>
    <border>
      <left/>
      <right style="hair">
        <color indexed="64"/>
      </right>
      <top/>
      <bottom/>
      <diagonal/>
    </border>
    <border>
      <left style="hair">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medium">
        <color theme="0"/>
      </bottom>
      <diagonal/>
    </border>
    <border>
      <left/>
      <right/>
      <top/>
      <bottom style="mediumDashed">
        <color auto="1"/>
      </bottom>
      <diagonal/>
    </border>
    <border>
      <left style="medium">
        <color auto="1"/>
      </left>
      <right style="medium">
        <color indexed="64"/>
      </right>
      <top/>
      <bottom/>
      <diagonal/>
    </border>
    <border>
      <left style="medium">
        <color auto="1"/>
      </left>
      <right/>
      <top/>
      <bottom style="mediumDashed">
        <color auto="1"/>
      </bottom>
      <diagonal/>
    </border>
    <border>
      <left/>
      <right style="medium">
        <color indexed="64"/>
      </right>
      <top/>
      <bottom style="mediumDashed">
        <color indexed="64"/>
      </bottom>
      <diagonal/>
    </border>
    <border>
      <left style="thin">
        <color auto="1"/>
      </left>
      <right style="thin">
        <color auto="1"/>
      </right>
      <top/>
      <bottom/>
      <diagonal/>
    </border>
    <border>
      <left/>
      <right style="thin">
        <color indexed="64"/>
      </right>
      <top style="hair">
        <color indexed="64"/>
      </top>
      <bottom/>
      <diagonal/>
    </border>
    <border>
      <left style="hair">
        <color auto="1"/>
      </left>
      <right/>
      <top style="hair">
        <color auto="1"/>
      </top>
      <bottom/>
      <diagonal/>
    </border>
    <border>
      <left style="hair">
        <color auto="1"/>
      </left>
      <right/>
      <top/>
      <bottom style="hair">
        <color auto="1"/>
      </bottom>
      <diagonal/>
    </border>
    <border>
      <left style="medium">
        <color auto="1"/>
      </left>
      <right/>
      <top style="thin">
        <color auto="1"/>
      </top>
      <bottom/>
      <diagonal/>
    </border>
    <border>
      <left style="medium">
        <color indexed="64"/>
      </left>
      <right/>
      <top/>
      <bottom style="thin">
        <color auto="1"/>
      </bottom>
      <diagonal/>
    </border>
    <border>
      <left style="thin">
        <color indexed="64"/>
      </left>
      <right style="thin">
        <color indexed="64"/>
      </right>
      <top style="thin">
        <color indexed="64"/>
      </top>
      <bottom style="thin">
        <color indexed="64"/>
      </bottom>
      <diagonal/>
    </border>
    <border>
      <left style="thin">
        <color indexed="12"/>
      </left>
      <right/>
      <top style="thin">
        <color indexed="12"/>
      </top>
      <bottom style="thin">
        <color indexed="12"/>
      </bottom>
      <diagonal/>
    </border>
    <border>
      <left/>
      <right style="thin">
        <color indexed="12"/>
      </right>
      <top/>
      <bottom style="thin">
        <color indexed="12"/>
      </bottom>
      <diagonal/>
    </border>
    <border>
      <left style="thin">
        <color indexed="12"/>
      </left>
      <right style="thin">
        <color indexed="12"/>
      </right>
      <top/>
      <bottom style="thin">
        <color indexed="12"/>
      </bottom>
      <diagonal/>
    </border>
    <border>
      <left style="thin">
        <color indexed="64"/>
      </left>
      <right/>
      <top style="hair">
        <color indexed="64"/>
      </top>
      <bottom/>
      <diagonal/>
    </border>
    <border>
      <left/>
      <right/>
      <top style="hair">
        <color auto="1"/>
      </top>
      <bottom/>
      <diagonal/>
    </border>
    <border>
      <left/>
      <right style="thin">
        <color auto="1"/>
      </right>
      <top style="hair">
        <color auto="1"/>
      </top>
      <bottom/>
      <diagonal/>
    </border>
    <border>
      <left/>
      <right/>
      <top style="hair">
        <color indexed="64"/>
      </top>
      <bottom style="hair">
        <color indexed="64"/>
      </bottom>
      <diagonal/>
    </border>
    <border>
      <left style="thin">
        <color auto="1"/>
      </left>
      <right/>
      <top style="hair">
        <color indexed="64"/>
      </top>
      <bottom style="hair">
        <color indexed="64"/>
      </bottom>
      <diagonal/>
    </border>
    <border>
      <left style="medium">
        <color indexed="64"/>
      </left>
      <right/>
      <top style="hair">
        <color indexed="64"/>
      </top>
      <bottom/>
      <diagonal/>
    </border>
    <border>
      <left/>
      <right style="medium">
        <color indexed="64"/>
      </right>
      <top style="hair">
        <color indexed="64"/>
      </top>
      <bottom/>
      <diagonal/>
    </border>
    <border>
      <left style="thin">
        <color theme="5"/>
      </left>
      <right style="thin">
        <color theme="5"/>
      </right>
      <top style="thin">
        <color theme="5"/>
      </top>
      <bottom style="thin">
        <color theme="5"/>
      </bottom>
      <diagonal/>
    </border>
    <border>
      <left/>
      <right/>
      <top style="hair">
        <color auto="1"/>
      </top>
      <bottom/>
      <diagonal/>
    </border>
    <border>
      <left/>
      <right style="thin">
        <color auto="1"/>
      </right>
      <top style="hair">
        <color auto="1"/>
      </top>
      <bottom/>
      <diagonal/>
    </border>
    <border>
      <left style="hair">
        <color auto="1"/>
      </left>
      <right/>
      <top style="hair">
        <color auto="1"/>
      </top>
      <bottom/>
      <diagonal/>
    </border>
    <border>
      <left style="thin">
        <color indexed="64"/>
      </left>
      <right style="thin">
        <color indexed="64"/>
      </right>
      <top style="thin">
        <color indexed="64"/>
      </top>
      <bottom style="dashDot">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dashDot">
        <color indexed="64"/>
      </top>
      <bottom style="thin">
        <color indexed="64"/>
      </bottom>
      <diagonal/>
    </border>
    <border>
      <left/>
      <right/>
      <top/>
      <bottom style="medium">
        <color theme="0"/>
      </bottom>
      <diagonal/>
    </border>
    <border>
      <left style="thin">
        <color indexed="64"/>
      </left>
      <right style="thin">
        <color auto="1"/>
      </right>
      <top/>
      <bottom style="thin">
        <color auto="1"/>
      </bottom>
      <diagonal/>
    </border>
    <border>
      <left style="medium">
        <color indexed="64"/>
      </left>
      <right/>
      <top/>
      <bottom style="thin">
        <color auto="1"/>
      </bottom>
      <diagonal/>
    </border>
    <border>
      <left style="thin">
        <color auto="1"/>
      </left>
      <right/>
      <top style="hair">
        <color theme="0" tint="-0.34998626667073579"/>
      </top>
      <bottom style="hair">
        <color theme="0" tint="-0.34998626667073579"/>
      </bottom>
      <diagonal/>
    </border>
    <border>
      <left/>
      <right/>
      <top style="hair">
        <color theme="0" tint="-0.34998626667073579"/>
      </top>
      <bottom style="hair">
        <color theme="0" tint="-0.34998626667073579"/>
      </bottom>
      <diagonal/>
    </border>
    <border>
      <left style="thin">
        <color auto="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dashed">
        <color indexed="64"/>
      </right>
      <top style="hair">
        <color theme="0" tint="-0.24994659260841701"/>
      </top>
      <bottom style="hair">
        <color theme="0" tint="-0.24994659260841701"/>
      </bottom>
      <diagonal/>
    </border>
    <border>
      <left style="medium">
        <color rgb="FF800080"/>
      </left>
      <right/>
      <top style="medium">
        <color rgb="FF800080"/>
      </top>
      <bottom/>
      <diagonal/>
    </border>
    <border>
      <left/>
      <right/>
      <top style="medium">
        <color rgb="FF800080"/>
      </top>
      <bottom/>
      <diagonal/>
    </border>
    <border>
      <left/>
      <right style="medium">
        <color rgb="FF800080"/>
      </right>
      <top style="medium">
        <color rgb="FF800080"/>
      </top>
      <bottom/>
      <diagonal/>
    </border>
    <border>
      <left style="medium">
        <color rgb="FF800080"/>
      </left>
      <right/>
      <top/>
      <bottom style="medium">
        <color rgb="FF800080"/>
      </bottom>
      <diagonal/>
    </border>
    <border>
      <left/>
      <right/>
      <top/>
      <bottom style="medium">
        <color rgb="FF800080"/>
      </bottom>
      <diagonal/>
    </border>
    <border>
      <left/>
      <right style="medium">
        <color rgb="FF800080"/>
      </right>
      <top/>
      <bottom style="medium">
        <color rgb="FF800080"/>
      </bottom>
      <diagonal/>
    </border>
    <border>
      <left style="medium">
        <color rgb="FF0000FF"/>
      </left>
      <right/>
      <top style="medium">
        <color rgb="FF0000FF"/>
      </top>
      <bottom/>
      <diagonal/>
    </border>
    <border>
      <left/>
      <right/>
      <top style="medium">
        <color rgb="FF0000FF"/>
      </top>
      <bottom/>
      <diagonal/>
    </border>
    <border>
      <left/>
      <right style="medium">
        <color rgb="FF0000FF"/>
      </right>
      <top style="medium">
        <color rgb="FF0000FF"/>
      </top>
      <bottom/>
      <diagonal/>
    </border>
    <border>
      <left style="medium">
        <color rgb="FF0000FF"/>
      </left>
      <right/>
      <top/>
      <bottom style="medium">
        <color rgb="FF0000FF"/>
      </bottom>
      <diagonal/>
    </border>
    <border>
      <left/>
      <right/>
      <top/>
      <bottom style="medium">
        <color rgb="FF0000FF"/>
      </bottom>
      <diagonal/>
    </border>
    <border>
      <left/>
      <right style="medium">
        <color rgb="FF0000FF"/>
      </right>
      <top/>
      <bottom style="medium">
        <color rgb="FF0000FF"/>
      </bottom>
      <diagonal/>
    </border>
    <border>
      <left/>
      <right style="dotted">
        <color theme="0" tint="-0.24994659260841701"/>
      </right>
      <top style="hair">
        <color theme="0" tint="-0.24994659260841701"/>
      </top>
      <bottom style="hair">
        <color theme="0" tint="-0.24994659260841701"/>
      </bottom>
      <diagonal/>
    </border>
    <border>
      <left/>
      <right style="dotted">
        <color theme="0" tint="-0.34998626667073579"/>
      </right>
      <top style="hair">
        <color theme="0" tint="-0.34998626667073579"/>
      </top>
      <bottom style="hair">
        <color theme="0" tint="-0.34998626667073579"/>
      </bottom>
      <diagonal/>
    </border>
    <border>
      <left style="thin">
        <color auto="1"/>
      </left>
      <right/>
      <top style="dashed">
        <color theme="0" tint="-0.24994659260841701"/>
      </top>
      <bottom style="dashed">
        <color theme="0" tint="-0.24994659260841701"/>
      </bottom>
      <diagonal/>
    </border>
    <border>
      <left/>
      <right/>
      <top style="dashed">
        <color theme="0" tint="-0.24994659260841701"/>
      </top>
      <bottom style="dashed">
        <color theme="0" tint="-0.24994659260841701"/>
      </bottom>
      <diagonal/>
    </border>
    <border>
      <left/>
      <right style="dashed">
        <color indexed="64"/>
      </right>
      <top style="dashed">
        <color theme="0" tint="-0.24994659260841701"/>
      </top>
      <bottom style="dashed">
        <color theme="0" tint="-0.24994659260841701"/>
      </bottom>
      <diagonal/>
    </border>
    <border>
      <left style="thin">
        <color auto="1"/>
      </left>
      <right style="thin">
        <color auto="1"/>
      </right>
      <top style="medium">
        <color auto="1"/>
      </top>
      <bottom/>
      <diagonal/>
    </border>
    <border>
      <left style="dotted">
        <color auto="1"/>
      </left>
      <right/>
      <top/>
      <bottom/>
      <diagonal/>
    </border>
    <border>
      <left/>
      <right/>
      <top style="thin">
        <color indexed="64"/>
      </top>
      <bottom style="thin">
        <color auto="1"/>
      </bottom>
      <diagonal/>
    </border>
    <border>
      <left/>
      <right style="dashed">
        <color indexed="64"/>
      </right>
      <top style="hair">
        <color indexed="64"/>
      </top>
      <bottom/>
      <diagonal/>
    </border>
    <border>
      <left/>
      <right style="thin">
        <color auto="1"/>
      </right>
      <top style="hair">
        <color auto="1"/>
      </top>
      <bottom style="hair">
        <color auto="1"/>
      </bottom>
      <diagonal/>
    </border>
    <border>
      <left style="hair">
        <color indexed="64"/>
      </left>
      <right style="dashed">
        <color indexed="64"/>
      </right>
      <top style="hair">
        <color indexed="64"/>
      </top>
      <bottom style="hair">
        <color indexed="64"/>
      </bottom>
      <diagonal/>
    </border>
    <border>
      <left style="thin">
        <color auto="1"/>
      </left>
      <right style="hair">
        <color auto="1"/>
      </right>
      <top style="hair">
        <color auto="1"/>
      </top>
      <bottom style="hair">
        <color auto="1"/>
      </bottom>
      <diagonal/>
    </border>
    <border>
      <left style="dashed">
        <color indexed="64"/>
      </left>
      <right/>
      <top/>
      <bottom/>
      <diagonal/>
    </border>
    <border>
      <left/>
      <right style="medium">
        <color rgb="FF0070C0"/>
      </right>
      <top style="medium">
        <color rgb="FF0070C0"/>
      </top>
      <bottom/>
      <diagonal/>
    </border>
    <border>
      <left/>
      <right style="medium">
        <color rgb="FF0070C0"/>
      </right>
      <top/>
      <bottom style="medium">
        <color rgb="FF0070C0"/>
      </bottom>
      <diagonal/>
    </border>
    <border>
      <left style="medium">
        <color auto="1"/>
      </left>
      <right style="medium">
        <color auto="1"/>
      </right>
      <top style="medium">
        <color auto="1"/>
      </top>
      <bottom style="medium">
        <color auto="1"/>
      </bottom>
      <diagonal/>
    </border>
    <border>
      <left style="medium">
        <color theme="1" tint="0.499984740745262"/>
      </left>
      <right style="medium">
        <color theme="1" tint="0.499984740745262"/>
      </right>
      <top style="medium">
        <color theme="1" tint="0.499984740745262"/>
      </top>
      <bottom/>
      <diagonal/>
    </border>
    <border>
      <left style="medium">
        <color theme="1" tint="0.499984740745262"/>
      </left>
      <right style="medium">
        <color theme="1" tint="0.499984740745262"/>
      </right>
      <top/>
      <bottom/>
      <diagonal/>
    </border>
    <border>
      <left style="medium">
        <color theme="1" tint="0.499984740745262"/>
      </left>
      <right style="medium">
        <color theme="1" tint="0.499984740745262"/>
      </right>
      <top/>
      <bottom style="medium">
        <color theme="1" tint="0.499984740745262"/>
      </bottom>
      <diagonal/>
    </border>
    <border>
      <left style="medium">
        <color theme="1" tint="0.499984740745262"/>
      </left>
      <right/>
      <top/>
      <bottom/>
      <diagonal/>
    </border>
    <border>
      <left style="medium">
        <color theme="1" tint="0.499984740745262"/>
      </left>
      <right/>
      <top style="medium">
        <color theme="1" tint="0.499984740745262"/>
      </top>
      <bottom/>
      <diagonal/>
    </border>
    <border>
      <left/>
      <right style="medium">
        <color theme="1" tint="0.499984740745262"/>
      </right>
      <top style="medium">
        <color theme="1" tint="0.499984740745262"/>
      </top>
      <bottom/>
      <diagonal/>
    </border>
    <border>
      <left/>
      <right style="medium">
        <color theme="1" tint="0.499984740745262"/>
      </right>
      <top/>
      <bottom/>
      <diagonal/>
    </border>
    <border>
      <left style="medium">
        <color theme="1" tint="0.499984740745262"/>
      </left>
      <right/>
      <top/>
      <bottom style="medium">
        <color theme="1" tint="0.499984740745262"/>
      </bottom>
      <diagonal/>
    </border>
    <border>
      <left/>
      <right style="medium">
        <color theme="1" tint="0.499984740745262"/>
      </right>
      <top/>
      <bottom style="medium">
        <color theme="1" tint="0.499984740745262"/>
      </bottom>
      <diagonal/>
    </border>
    <border>
      <left/>
      <right/>
      <top style="thin">
        <color theme="5"/>
      </top>
      <bottom/>
      <diagonal/>
    </border>
    <border>
      <left/>
      <right/>
      <top style="thin">
        <color theme="0" tint="-0.499984740745262"/>
      </top>
      <bottom style="thin">
        <color theme="0" tint="-0.499984740745262"/>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indexed="64"/>
      </left>
      <right style="thin">
        <color indexed="64"/>
      </right>
      <top/>
      <bottom style="thin">
        <color auto="1"/>
      </bottom>
      <diagonal/>
    </border>
    <border>
      <left style="thin">
        <color indexed="64"/>
      </left>
      <right style="medium">
        <color auto="1"/>
      </right>
      <top/>
      <bottom style="thin">
        <color auto="1"/>
      </bottom>
      <diagonal/>
    </border>
    <border>
      <left/>
      <right style="medium">
        <color auto="1"/>
      </right>
      <top style="thin">
        <color auto="1"/>
      </top>
      <bottom style="thin">
        <color auto="1"/>
      </bottom>
      <diagonal/>
    </border>
    <border>
      <left style="hair">
        <color indexed="64"/>
      </left>
      <right style="medium">
        <color indexed="64"/>
      </right>
      <top/>
      <bottom/>
      <diagonal/>
    </border>
    <border>
      <left style="hair">
        <color indexed="60"/>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medium">
        <color auto="1"/>
      </bottom>
      <diagonal/>
    </border>
    <border>
      <left/>
      <right style="thin">
        <color auto="1"/>
      </right>
      <top style="thin">
        <color auto="1"/>
      </top>
      <bottom style="thin">
        <color auto="1"/>
      </bottom>
      <diagonal/>
    </border>
    <border>
      <left/>
      <right/>
      <top style="thin">
        <color indexed="64"/>
      </top>
      <bottom style="thin">
        <color auto="1"/>
      </bottom>
      <diagonal/>
    </border>
    <border>
      <left/>
      <right/>
      <top style="hair">
        <color indexed="64"/>
      </top>
      <bottom/>
      <diagonal/>
    </border>
    <border>
      <left style="medium">
        <color rgb="FF0070C0"/>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style="hair">
        <color auto="1"/>
      </left>
      <right/>
      <top/>
      <bottom style="hair">
        <color auto="1"/>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style="thin">
        <color theme="0" tint="-0.24994659260841701"/>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theme="0" tint="-0.24994659260841701"/>
      </bottom>
      <diagonal/>
    </border>
    <border>
      <left style="medium">
        <color auto="1"/>
      </left>
      <right/>
      <top/>
      <bottom style="hair">
        <color indexed="64"/>
      </bottom>
      <diagonal/>
    </border>
    <border>
      <left/>
      <right style="thin">
        <color auto="1"/>
      </right>
      <top style="hair">
        <color auto="1"/>
      </top>
      <bottom/>
      <diagonal/>
    </border>
    <border>
      <left/>
      <right style="hair">
        <color indexed="64"/>
      </right>
      <top/>
      <bottom style="hair">
        <color indexed="64"/>
      </bottom>
      <diagonal/>
    </border>
    <border>
      <left style="medium">
        <color indexed="64"/>
      </left>
      <right style="medium">
        <color indexed="64"/>
      </right>
      <top/>
      <bottom style="medium">
        <color theme="0"/>
      </bottom>
      <diagonal/>
    </border>
    <border>
      <left style="dashed">
        <color indexed="64"/>
      </left>
      <right/>
      <top/>
      <bottom style="hair">
        <color auto="1"/>
      </bottom>
      <diagonal/>
    </border>
    <border>
      <left style="thin">
        <color auto="1"/>
      </left>
      <right/>
      <top/>
      <bottom style="dashed">
        <color auto="1"/>
      </bottom>
      <diagonal/>
    </border>
    <border>
      <left/>
      <right style="dashed">
        <color indexed="64"/>
      </right>
      <top/>
      <bottom style="dashed">
        <color auto="1"/>
      </bottom>
      <diagonal/>
    </border>
    <border>
      <left style="thin">
        <color auto="1"/>
      </left>
      <right/>
      <top style="dashed">
        <color indexed="64"/>
      </top>
      <bottom/>
      <diagonal/>
    </border>
    <border>
      <left style="dashed">
        <color indexed="64"/>
      </left>
      <right/>
      <top style="dashed">
        <color indexed="64"/>
      </top>
      <bottom/>
      <diagonal/>
    </border>
    <border>
      <left/>
      <right style="thin">
        <color auto="1"/>
      </right>
      <top style="dashed">
        <color auto="1"/>
      </top>
      <bottom/>
      <diagonal/>
    </border>
    <border>
      <left/>
      <right style="dashed">
        <color indexed="64"/>
      </right>
      <top style="dashed">
        <color auto="1"/>
      </top>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thin">
        <color auto="1"/>
      </left>
      <right/>
      <top style="dashed">
        <color auto="1"/>
      </top>
      <bottom style="thin">
        <color auto="1"/>
      </bottom>
      <diagonal/>
    </border>
    <border>
      <left/>
      <right/>
      <top style="dashed">
        <color auto="1"/>
      </top>
      <bottom style="thin">
        <color auto="1"/>
      </bottom>
      <diagonal/>
    </border>
    <border>
      <left/>
      <right style="thin">
        <color auto="1"/>
      </right>
      <top style="dashed">
        <color auto="1"/>
      </top>
      <bottom style="thin">
        <color auto="1"/>
      </bottom>
      <diagonal/>
    </border>
    <border>
      <left style="thin">
        <color auto="1"/>
      </left>
      <right/>
      <top style="hair">
        <color indexed="64"/>
      </top>
      <bottom style="hair">
        <color indexed="64"/>
      </bottom>
      <diagonal/>
    </border>
    <border>
      <left style="thin">
        <color indexed="64"/>
      </left>
      <right style="thin">
        <color auto="1"/>
      </right>
      <top/>
      <bottom style="thin">
        <color auto="1"/>
      </bottom>
      <diagonal/>
    </border>
    <border>
      <left style="thin">
        <color auto="1"/>
      </left>
      <right/>
      <top/>
      <bottom style="thin">
        <color auto="1"/>
      </bottom>
      <diagonal/>
    </border>
    <border>
      <left style="medium">
        <color indexed="64"/>
      </left>
      <right/>
      <top/>
      <bottom style="thin">
        <color auto="1"/>
      </bottom>
      <diagonal/>
    </border>
    <border>
      <left/>
      <right style="medium">
        <color auto="1"/>
      </right>
      <top/>
      <bottom style="thin">
        <color indexed="64"/>
      </bottom>
      <diagonal/>
    </border>
    <border>
      <left style="thin">
        <color auto="1"/>
      </left>
      <right/>
      <top style="hair">
        <color theme="0" tint="-0.24994659260841701"/>
      </top>
      <bottom/>
      <diagonal/>
    </border>
    <border>
      <left/>
      <right style="thin">
        <color indexed="64"/>
      </right>
      <top/>
      <bottom style="thin">
        <color indexed="64"/>
      </bottom>
      <diagonal/>
    </border>
    <border>
      <left/>
      <right/>
      <top/>
      <bottom style="thick">
        <color indexed="64"/>
      </bottom>
      <diagonal/>
    </border>
    <border>
      <left/>
      <right/>
      <top style="thick">
        <color auto="1"/>
      </top>
      <bottom/>
      <diagonal/>
    </border>
    <border>
      <left/>
      <right/>
      <top/>
      <bottom style="thin">
        <color indexed="64"/>
      </bottom>
      <diagonal/>
    </border>
    <border>
      <left style="thin">
        <color indexed="64"/>
      </left>
      <right/>
      <top style="dashDot">
        <color indexed="64"/>
      </top>
      <bottom/>
      <diagonal/>
    </border>
    <border>
      <left/>
      <right/>
      <top style="dashDot">
        <color indexed="64"/>
      </top>
      <bottom/>
      <diagonal/>
    </border>
    <border>
      <left/>
      <right style="thin">
        <color indexed="64"/>
      </right>
      <top style="dashDot">
        <color indexed="64"/>
      </top>
      <bottom/>
      <diagonal/>
    </border>
    <border>
      <left/>
      <right/>
      <top/>
      <bottom style="medium">
        <color rgb="FFCCCCCC"/>
      </bottom>
      <diagonal/>
    </border>
    <border>
      <left style="medium">
        <color auto="1"/>
      </left>
      <right/>
      <top style="thin">
        <color indexed="64"/>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hair">
        <color indexed="12"/>
      </top>
      <bottom/>
      <diagonal/>
    </border>
    <border>
      <left/>
      <right/>
      <top style="hair">
        <color indexed="12"/>
      </top>
      <bottom/>
      <diagonal/>
    </border>
    <border>
      <left/>
      <right style="medium">
        <color indexed="64"/>
      </right>
      <top style="hair">
        <color indexed="12"/>
      </top>
      <bottom/>
      <diagonal/>
    </border>
    <border>
      <left style="hair">
        <color indexed="64"/>
      </left>
      <right style="hair">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hair">
        <color indexed="12"/>
      </left>
      <right style="hair">
        <color indexed="12"/>
      </right>
      <top style="hair">
        <color indexed="12"/>
      </top>
      <bottom style="hair">
        <color indexed="12"/>
      </bottom>
      <diagonal/>
    </border>
    <border>
      <left/>
      <right style="thin">
        <color auto="1"/>
      </right>
      <top style="thin">
        <color auto="1"/>
      </top>
      <bottom style="thin">
        <color auto="1"/>
      </bottom>
      <diagonal/>
    </border>
    <border>
      <left/>
      <right/>
      <top style="thin">
        <color indexed="64"/>
      </top>
      <bottom style="thin">
        <color auto="1"/>
      </bottom>
      <diagonal/>
    </border>
    <border>
      <left/>
      <right/>
      <top style="hair">
        <color indexed="64"/>
      </top>
      <bottom/>
      <diagonal/>
    </border>
    <border>
      <left style="hair">
        <color indexed="64"/>
      </left>
      <right style="hair">
        <color indexed="64"/>
      </right>
      <top style="hair">
        <color indexed="64"/>
      </top>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thin">
        <color indexed="37"/>
      </left>
      <right/>
      <top style="thin">
        <color indexed="37"/>
      </top>
      <bottom/>
      <diagonal/>
    </border>
    <border>
      <left/>
      <right/>
      <top style="thin">
        <color indexed="37"/>
      </top>
      <bottom/>
      <diagonal/>
    </border>
    <border>
      <left/>
      <right style="hair">
        <color indexed="37"/>
      </right>
      <top style="thin">
        <color indexed="37"/>
      </top>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thin">
        <color indexed="37"/>
      </left>
      <right/>
      <top/>
      <bottom/>
      <diagonal/>
    </border>
    <border>
      <left/>
      <right style="hair">
        <color indexed="37"/>
      </right>
      <top/>
      <bottom/>
      <diagonal/>
    </border>
    <border>
      <left style="hair">
        <color indexed="37"/>
      </left>
      <right style="hair">
        <color indexed="37"/>
      </right>
      <top/>
      <bottom/>
      <diagonal/>
    </border>
    <border>
      <left style="hair">
        <color indexed="37"/>
      </left>
      <right/>
      <top/>
      <bottom/>
      <diagonal/>
    </border>
    <border>
      <left/>
      <right style="thin">
        <color indexed="37"/>
      </right>
      <top/>
      <bottom/>
      <diagonal/>
    </border>
    <border>
      <left style="thin">
        <color indexed="37"/>
      </left>
      <right/>
      <top/>
      <bottom style="thin">
        <color indexed="37"/>
      </bottom>
      <diagonal/>
    </border>
    <border>
      <left/>
      <right/>
      <top/>
      <bottom style="thin">
        <color indexed="37"/>
      </bottom>
      <diagonal/>
    </border>
    <border>
      <left/>
      <right style="hair">
        <color indexed="37"/>
      </right>
      <top/>
      <bottom style="thin">
        <color indexed="37"/>
      </bottom>
      <diagonal/>
    </border>
    <border>
      <left style="hair">
        <color indexed="37"/>
      </left>
      <right style="hair">
        <color indexed="37"/>
      </right>
      <top style="hair">
        <color indexed="64"/>
      </top>
      <bottom style="hair">
        <color indexed="37"/>
      </bottom>
      <diagonal/>
    </border>
    <border>
      <left style="hair">
        <color indexed="37"/>
      </left>
      <right/>
      <top/>
      <bottom style="thin">
        <color indexed="37"/>
      </bottom>
      <diagonal/>
    </border>
    <border>
      <left/>
      <right style="thin">
        <color indexed="37"/>
      </right>
      <top/>
      <bottom style="thin">
        <color indexed="37"/>
      </bottom>
      <diagonal/>
    </border>
    <border>
      <left style="thin">
        <color indexed="16"/>
      </left>
      <right/>
      <top style="thin">
        <color indexed="16"/>
      </top>
      <bottom style="hair">
        <color indexed="64"/>
      </bottom>
      <diagonal/>
    </border>
    <border>
      <left/>
      <right/>
      <top style="thin">
        <color indexed="37"/>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style="medium">
        <color indexed="64"/>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thin">
        <color theme="9" tint="-0.24994659260841701"/>
      </bottom>
      <diagonal/>
    </border>
    <border>
      <left/>
      <right/>
      <top/>
      <bottom style="thin">
        <color theme="9" tint="-0.24994659260841701"/>
      </bottom>
      <diagonal/>
    </border>
    <border>
      <left/>
      <right style="medium">
        <color theme="9" tint="-0.24994659260841701"/>
      </right>
      <top/>
      <bottom style="thin">
        <color theme="9" tint="-0.24994659260841701"/>
      </bottom>
      <diagonal/>
    </border>
    <border>
      <left style="medium">
        <color theme="9" tint="-0.24994659260841701"/>
      </left>
      <right style="thin">
        <color indexed="12"/>
      </right>
      <top/>
      <bottom/>
      <diagonal/>
    </border>
    <border>
      <left style="thin">
        <color indexed="12"/>
      </left>
      <right style="thin">
        <color indexed="12"/>
      </right>
      <top/>
      <bottom/>
      <diagonal/>
    </border>
    <border>
      <left style="thin">
        <color indexed="12"/>
      </left>
      <right/>
      <top/>
      <bottom/>
      <diagonal/>
    </border>
    <border>
      <left style="thin">
        <color indexed="64"/>
      </left>
      <right/>
      <top/>
      <bottom/>
      <diagonal/>
    </border>
    <border>
      <left style="thin">
        <color theme="9" tint="0.39988402966399123"/>
      </left>
      <right style="thin">
        <color theme="9" tint="0.39988402966399123"/>
      </right>
      <top style="thin">
        <color theme="9" tint="0.39988402966399123"/>
      </top>
      <bottom style="thin">
        <color theme="9" tint="0.39991454817346722"/>
      </bottom>
      <diagonal/>
    </border>
    <border>
      <left/>
      <right style="thin">
        <color indexed="12"/>
      </right>
      <top/>
      <bottom/>
      <diagonal/>
    </border>
    <border>
      <left style="thin">
        <color indexed="12"/>
      </left>
      <right style="medium">
        <color theme="9" tint="-0.24994659260841701"/>
      </right>
      <top/>
      <bottom/>
      <diagonal/>
    </border>
    <border>
      <left style="medium">
        <color theme="9" tint="-0.24994659260841701"/>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style="thin">
        <color theme="9" tint="0.39994506668294322"/>
      </top>
      <bottom style="thin">
        <color theme="9" tint="0.39994506668294322"/>
      </bottom>
      <diagonal/>
    </border>
    <border>
      <left style="thin">
        <color theme="9" tint="0.39994506668294322"/>
      </left>
      <right style="thin">
        <color theme="9" tint="0.39994506668294322"/>
      </right>
      <top/>
      <bottom style="thin">
        <color theme="9" tint="0.39994506668294322"/>
      </bottom>
      <diagonal/>
    </border>
    <border>
      <left style="thin">
        <color theme="9" tint="0.39994506668294322"/>
      </left>
      <right style="medium">
        <color theme="9" tint="-0.24994659260841701"/>
      </right>
      <top style="thin">
        <color theme="9" tint="0.39994506668294322"/>
      </top>
      <bottom style="thin">
        <color theme="9" tint="0.39994506668294322"/>
      </bottom>
      <diagonal/>
    </border>
    <border>
      <left style="medium">
        <color theme="9" tint="-0.24994659260841701"/>
      </left>
      <right style="thin">
        <color theme="9" tint="0.39994506668294322"/>
      </right>
      <top style="thin">
        <color theme="9" tint="0.39994506668294322"/>
      </top>
      <bottom style="double">
        <color theme="9" tint="-0.24994659260841701"/>
      </bottom>
      <diagonal/>
    </border>
    <border>
      <left style="thin">
        <color theme="9" tint="0.39994506668294322"/>
      </left>
      <right style="thin">
        <color theme="9" tint="0.39994506668294322"/>
      </right>
      <top style="thin">
        <color theme="9" tint="0.39994506668294322"/>
      </top>
      <bottom style="double">
        <color theme="9" tint="-0.24994659260841701"/>
      </bottom>
      <diagonal/>
    </border>
    <border>
      <left style="thin">
        <color theme="9" tint="0.39994506668294322"/>
      </left>
      <right style="medium">
        <color theme="9" tint="-0.24994659260841701"/>
      </right>
      <top style="thin">
        <color theme="9" tint="0.39994506668294322"/>
      </top>
      <bottom style="double">
        <color theme="9" tint="-0.24994659260841701"/>
      </bottom>
      <diagonal/>
    </border>
    <border>
      <left style="double">
        <color theme="9" tint="-0.24994659260841701"/>
      </left>
      <right/>
      <top style="double">
        <color theme="9" tint="-0.24994659260841701"/>
      </top>
      <bottom style="double">
        <color theme="9" tint="-0.24994659260841701"/>
      </bottom>
      <diagonal/>
    </border>
    <border>
      <left style="thin">
        <color theme="9" tint="-0.24994659260841701"/>
      </left>
      <right style="thin">
        <color theme="9" tint="-0.24994659260841701"/>
      </right>
      <top style="double">
        <color theme="9" tint="-0.24994659260841701"/>
      </top>
      <bottom style="double">
        <color theme="9" tint="-0.24994659260841701"/>
      </bottom>
      <diagonal/>
    </border>
    <border>
      <left style="thin">
        <color theme="9" tint="-0.24994659260841701"/>
      </left>
      <right style="double">
        <color theme="9" tint="-0.24994659260841701"/>
      </right>
      <top style="double">
        <color theme="9" tint="-0.24994659260841701"/>
      </top>
      <bottom style="double">
        <color theme="9" tint="-0.24994659260841701"/>
      </bottom>
      <diagonal/>
    </border>
    <border>
      <left style="medium">
        <color theme="9" tint="-0.24994659260841701"/>
      </left>
      <right/>
      <top style="double">
        <color theme="9" tint="-0.24994659260841701"/>
      </top>
      <bottom style="mediumDashed">
        <color theme="9" tint="-0.24994659260841701"/>
      </bottom>
      <diagonal/>
    </border>
    <border>
      <left/>
      <right/>
      <top style="double">
        <color theme="9" tint="-0.24994659260841701"/>
      </top>
      <bottom style="mediumDashed">
        <color theme="9" tint="-0.24994659260841701"/>
      </bottom>
      <diagonal/>
    </border>
    <border>
      <left/>
      <right style="medium">
        <color theme="9" tint="-0.24994659260841701"/>
      </right>
      <top style="double">
        <color theme="9" tint="-0.24994659260841701"/>
      </top>
      <bottom style="mediumDashed">
        <color theme="9" tint="-0.24994659260841701"/>
      </bottom>
      <diagonal/>
    </border>
    <border>
      <left style="medium">
        <color theme="9" tint="-0.24994659260841701"/>
      </left>
      <right/>
      <top style="mediumDashed">
        <color theme="9" tint="-0.24994659260841701"/>
      </top>
      <bottom/>
      <diagonal/>
    </border>
    <border>
      <left/>
      <right/>
      <top style="mediumDashed">
        <color theme="9" tint="-0.24994659260841701"/>
      </top>
      <bottom/>
      <diagonal/>
    </border>
    <border>
      <left/>
      <right style="medium">
        <color theme="9" tint="-0.24994659260841701"/>
      </right>
      <top style="mediumDashed">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auto="1"/>
      </right>
      <top/>
      <bottom/>
      <diagonal/>
    </border>
    <border>
      <left/>
      <right/>
      <top style="thin">
        <color indexed="64"/>
      </top>
      <bottom style="thin">
        <color indexed="64"/>
      </bottom>
      <diagonal/>
    </border>
  </borders>
  <cellStyleXfs count="24">
    <xf numFmtId="0" fontId="0" fillId="0" borderId="0"/>
    <xf numFmtId="0" fontId="4" fillId="0" borderId="0"/>
    <xf numFmtId="0" fontId="1" fillId="0" borderId="0"/>
    <xf numFmtId="0" fontId="4" fillId="0" borderId="0"/>
    <xf numFmtId="0" fontId="19" fillId="0" borderId="0"/>
    <xf numFmtId="0" fontId="22" fillId="0" borderId="0" applyNumberFormat="0" applyFill="0" applyBorder="0" applyAlignment="0" applyProtection="0"/>
    <xf numFmtId="0" fontId="1" fillId="0" borderId="0"/>
    <xf numFmtId="0" fontId="19" fillId="0" borderId="0"/>
    <xf numFmtId="0" fontId="78" fillId="0" borderId="0" applyNumberFormat="0" applyFill="0" applyBorder="0" applyAlignment="0" applyProtection="0"/>
    <xf numFmtId="0" fontId="4" fillId="0" borderId="0"/>
    <xf numFmtId="0" fontId="22" fillId="0" borderId="0" applyNumberFormat="0" applyFill="0" applyBorder="0" applyAlignment="0" applyProtection="0">
      <alignment vertical="top"/>
      <protection locked="0"/>
    </xf>
    <xf numFmtId="0" fontId="78" fillId="0" borderId="0" applyNumberFormat="0" applyFill="0" applyBorder="0" applyAlignment="0" applyProtection="0"/>
    <xf numFmtId="0" fontId="19" fillId="0" borderId="0"/>
    <xf numFmtId="0" fontId="94" fillId="0" borderId="0"/>
    <xf numFmtId="0" fontId="4" fillId="0" borderId="0"/>
    <xf numFmtId="0" fontId="162" fillId="0" borderId="0"/>
    <xf numFmtId="0" fontId="4" fillId="0" borderId="0"/>
    <xf numFmtId="0" fontId="19" fillId="0" borderId="0"/>
    <xf numFmtId="0" fontId="216" fillId="0" borderId="0"/>
    <xf numFmtId="9" fontId="217" fillId="0" borderId="0" applyFont="0" applyFill="0" applyBorder="0" applyAlignment="0" applyProtection="0"/>
    <xf numFmtId="0" fontId="287" fillId="0" borderId="0"/>
    <xf numFmtId="9" fontId="216" fillId="0" borderId="0" applyFont="0" applyFill="0" applyBorder="0" applyAlignment="0" applyProtection="0"/>
    <xf numFmtId="0" fontId="94" fillId="0" borderId="0"/>
    <xf numFmtId="0" fontId="477" fillId="0" borderId="0" applyNumberFormat="0" applyFill="0" applyBorder="0" applyAlignment="0" applyProtection="0"/>
  </cellStyleXfs>
  <cellXfs count="3623">
    <xf numFmtId="0" fontId="0" fillId="0" borderId="0" xfId="0"/>
    <xf numFmtId="0" fontId="0" fillId="4" borderId="0" xfId="0" applyFill="1" applyBorder="1"/>
    <xf numFmtId="0" fontId="0" fillId="4" borderId="5" xfId="0" applyFill="1" applyBorder="1"/>
    <xf numFmtId="166" fontId="21" fillId="11" borderId="0" xfId="3" applyNumberFormat="1" applyFont="1" applyFill="1" applyBorder="1" applyAlignment="1">
      <alignment horizontal="center" vertical="center"/>
    </xf>
    <xf numFmtId="166" fontId="21" fillId="11" borderId="0" xfId="3" applyNumberFormat="1" applyFont="1" applyFill="1" applyBorder="1" applyAlignment="1">
      <alignment horizontal="left" vertical="center"/>
    </xf>
    <xf numFmtId="1" fontId="21" fillId="11" borderId="0" xfId="3" applyNumberFormat="1" applyFont="1" applyFill="1" applyBorder="1" applyAlignment="1">
      <alignment horizontal="center" vertical="center"/>
    </xf>
    <xf numFmtId="0" fontId="26" fillId="4" borderId="0" xfId="1" applyFont="1" applyFill="1" applyBorder="1" applyAlignment="1" applyProtection="1">
      <alignment horizontal="left" vertical="center"/>
      <protection hidden="1"/>
    </xf>
    <xf numFmtId="49" fontId="27" fillId="4" borderId="0" xfId="5" applyNumberFormat="1" applyFont="1" applyFill="1" applyBorder="1" applyAlignment="1">
      <alignment vertical="center"/>
    </xf>
    <xf numFmtId="0" fontId="28" fillId="4" borderId="0" xfId="1" applyFont="1" applyFill="1" applyBorder="1" applyAlignment="1" applyProtection="1">
      <alignment horizontal="right" vertical="center"/>
      <protection hidden="1"/>
    </xf>
    <xf numFmtId="0" fontId="28" fillId="4" borderId="11" xfId="1" applyFont="1" applyFill="1" applyBorder="1" applyAlignment="1" applyProtection="1">
      <alignment horizontal="center" vertical="center"/>
      <protection hidden="1"/>
    </xf>
    <xf numFmtId="49" fontId="1" fillId="4" borderId="15" xfId="2" applyNumberFormat="1" applyFont="1" applyFill="1" applyBorder="1" applyAlignment="1">
      <alignment horizontal="center" vertical="center"/>
    </xf>
    <xf numFmtId="49" fontId="1" fillId="4" borderId="16" xfId="2" applyNumberFormat="1" applyFont="1" applyFill="1" applyBorder="1" applyAlignment="1">
      <alignment horizontal="center" vertical="center"/>
    </xf>
    <xf numFmtId="49" fontId="17" fillId="4" borderId="17" xfId="2" applyNumberFormat="1" applyFont="1" applyFill="1" applyBorder="1" applyAlignment="1">
      <alignment horizontal="right" vertical="center"/>
    </xf>
    <xf numFmtId="0" fontId="13" fillId="15" borderId="0" xfId="1" applyFont="1" applyFill="1" applyBorder="1" applyAlignment="1">
      <alignment vertical="center"/>
    </xf>
    <xf numFmtId="0" fontId="13" fillId="15" borderId="11" xfId="1" applyFont="1" applyFill="1" applyBorder="1" applyAlignment="1">
      <alignment vertical="center"/>
    </xf>
    <xf numFmtId="0" fontId="25" fillId="4" borderId="0" xfId="1" applyFont="1" applyFill="1" applyBorder="1" applyAlignment="1" applyProtection="1">
      <alignment horizontal="left" vertical="center"/>
      <protection hidden="1"/>
    </xf>
    <xf numFmtId="0" fontId="29" fillId="4" borderId="0" xfId="1" applyFont="1" applyFill="1" applyBorder="1" applyProtection="1">
      <protection hidden="1"/>
    </xf>
    <xf numFmtId="168" fontId="30" fillId="16" borderId="0" xfId="1" applyNumberFormat="1" applyFont="1" applyFill="1" applyBorder="1" applyAlignment="1">
      <alignment horizontal="left" vertical="center"/>
    </xf>
    <xf numFmtId="2" fontId="30" fillId="16" borderId="0" xfId="1" applyNumberFormat="1" applyFont="1" applyFill="1" applyBorder="1" applyAlignment="1">
      <alignment horizontal="center" vertical="center"/>
    </xf>
    <xf numFmtId="0" fontId="33" fillId="18" borderId="0" xfId="2" applyFont="1" applyFill="1" applyBorder="1" applyAlignment="1">
      <alignment horizontal="left" vertical="center"/>
    </xf>
    <xf numFmtId="0" fontId="34" fillId="19" borderId="20" xfId="2" applyFont="1" applyFill="1" applyBorder="1" applyAlignment="1" applyProtection="1">
      <alignment horizontal="center" vertical="center"/>
      <protection locked="0"/>
    </xf>
    <xf numFmtId="0" fontId="36" fillId="4" borderId="0" xfId="1" applyFont="1" applyFill="1" applyBorder="1" applyAlignment="1" applyProtection="1">
      <alignment horizontal="left" vertical="center"/>
      <protection hidden="1"/>
    </xf>
    <xf numFmtId="0" fontId="37" fillId="4" borderId="0" xfId="2" applyFont="1" applyFill="1" applyBorder="1" applyAlignment="1">
      <alignment horizontal="left" vertical="center"/>
    </xf>
    <xf numFmtId="0" fontId="42" fillId="18" borderId="0" xfId="0" applyFont="1" applyFill="1" applyBorder="1" applyAlignment="1" applyProtection="1">
      <alignment horizontal="right" vertical="center"/>
      <protection locked="0"/>
    </xf>
    <xf numFmtId="0" fontId="48" fillId="18" borderId="3" xfId="0" applyFont="1" applyFill="1" applyBorder="1" applyAlignment="1" applyProtection="1">
      <alignment horizontal="right" vertical="center"/>
      <protection locked="0"/>
    </xf>
    <xf numFmtId="0" fontId="49" fillId="4" borderId="0" xfId="0" applyFont="1" applyFill="1" applyBorder="1" applyAlignment="1" applyProtection="1">
      <alignment horizontal="right" vertical="center"/>
      <protection locked="0"/>
    </xf>
    <xf numFmtId="0" fontId="50" fillId="4" borderId="0" xfId="0" applyFont="1" applyFill="1" applyBorder="1" applyAlignment="1" applyProtection="1">
      <alignment horizontal="right" vertical="center"/>
      <protection locked="0"/>
    </xf>
    <xf numFmtId="0" fontId="54" fillId="23" borderId="18" xfId="1" applyFont="1" applyFill="1" applyBorder="1" applyAlignment="1" applyProtection="1">
      <alignment horizontal="center" vertical="center"/>
      <protection hidden="1"/>
    </xf>
    <xf numFmtId="0" fontId="6" fillId="23" borderId="18" xfId="1" applyFont="1" applyFill="1" applyBorder="1" applyAlignment="1" applyProtection="1">
      <alignment horizontal="center" vertical="center" wrapText="1"/>
      <protection hidden="1"/>
    </xf>
    <xf numFmtId="0" fontId="6" fillId="23" borderId="20" xfId="1" applyFont="1" applyFill="1" applyBorder="1" applyAlignment="1" applyProtection="1">
      <alignment horizontal="center" vertical="center"/>
      <protection hidden="1"/>
    </xf>
    <xf numFmtId="0" fontId="58" fillId="20" borderId="0" xfId="1" applyFont="1" applyFill="1" applyBorder="1" applyAlignment="1">
      <alignment horizontal="center" vertical="center"/>
    </xf>
    <xf numFmtId="0" fontId="59" fillId="20" borderId="11" xfId="1" applyFont="1" applyFill="1" applyBorder="1" applyAlignment="1">
      <alignment horizontal="left" vertical="center"/>
    </xf>
    <xf numFmtId="0" fontId="60" fillId="4" borderId="0" xfId="1" applyFont="1" applyFill="1" applyBorder="1" applyAlignment="1" applyProtection="1">
      <alignment horizontal="center" vertical="center"/>
      <protection hidden="1"/>
    </xf>
    <xf numFmtId="0" fontId="60" fillId="4" borderId="0" xfId="1" applyFont="1" applyFill="1" applyBorder="1" applyAlignment="1" applyProtection="1">
      <alignment horizontal="right" vertical="center"/>
      <protection hidden="1"/>
    </xf>
    <xf numFmtId="0" fontId="61" fillId="4" borderId="32" xfId="1" applyFont="1" applyFill="1" applyBorder="1" applyAlignment="1" applyProtection="1">
      <alignment vertical="center"/>
      <protection hidden="1"/>
    </xf>
    <xf numFmtId="173" fontId="12" fillId="2" borderId="10" xfId="2" applyNumberFormat="1" applyFont="1" applyFill="1" applyBorder="1" applyAlignment="1">
      <alignment horizontal="left" vertical="center"/>
    </xf>
    <xf numFmtId="0" fontId="11" fillId="2" borderId="0" xfId="0" applyFont="1" applyFill="1" applyBorder="1" applyAlignment="1">
      <alignment horizontal="right" vertical="center"/>
    </xf>
    <xf numFmtId="173" fontId="12" fillId="2" borderId="0" xfId="2" applyNumberFormat="1" applyFont="1" applyFill="1" applyBorder="1" applyAlignment="1">
      <alignment horizontal="left" vertical="center"/>
    </xf>
    <xf numFmtId="0" fontId="64" fillId="2" borderId="11" xfId="0" applyFont="1" applyFill="1" applyBorder="1" applyAlignment="1">
      <alignment vertical="center"/>
    </xf>
    <xf numFmtId="0" fontId="11" fillId="4" borderId="18" xfId="2" applyFont="1" applyFill="1" applyBorder="1" applyAlignment="1">
      <alignment horizontal="right" vertical="center"/>
    </xf>
    <xf numFmtId="173" fontId="11" fillId="4" borderId="18" xfId="2" applyNumberFormat="1" applyFont="1" applyFill="1" applyBorder="1" applyAlignment="1">
      <alignment horizontal="left" vertical="center"/>
    </xf>
    <xf numFmtId="0" fontId="11" fillId="4" borderId="18" xfId="0" applyFont="1" applyFill="1" applyBorder="1" applyAlignment="1">
      <alignment horizontal="right" vertical="center"/>
    </xf>
    <xf numFmtId="0" fontId="67" fillId="2" borderId="0" xfId="0" applyFont="1" applyFill="1" applyBorder="1" applyAlignment="1">
      <alignment vertical="center"/>
    </xf>
    <xf numFmtId="0" fontId="66" fillId="2" borderId="11" xfId="0" applyFont="1" applyFill="1" applyBorder="1" applyAlignment="1">
      <alignment vertical="center"/>
    </xf>
    <xf numFmtId="0" fontId="0" fillId="4" borderId="0" xfId="0" applyFill="1" applyBorder="1" applyAlignment="1">
      <alignment vertical="center"/>
    </xf>
    <xf numFmtId="0" fontId="0" fillId="4" borderId="11" xfId="0" applyFill="1" applyBorder="1" applyAlignment="1">
      <alignment vertical="center"/>
    </xf>
    <xf numFmtId="0" fontId="0" fillId="4" borderId="0" xfId="0" applyFill="1" applyAlignment="1">
      <alignment vertical="center"/>
    </xf>
    <xf numFmtId="0" fontId="63" fillId="4" borderId="0" xfId="1" applyFont="1" applyFill="1" applyBorder="1" applyAlignment="1">
      <alignment vertical="center" wrapText="1"/>
    </xf>
    <xf numFmtId="0" fontId="63" fillId="4" borderId="0" xfId="1" applyFont="1" applyFill="1" applyBorder="1" applyAlignment="1">
      <alignment vertical="center"/>
    </xf>
    <xf numFmtId="0" fontId="20" fillId="29" borderId="9" xfId="4" applyFont="1" applyFill="1" applyBorder="1" applyAlignment="1">
      <alignment vertical="center"/>
    </xf>
    <xf numFmtId="0" fontId="20" fillId="31" borderId="9" xfId="4" applyFont="1" applyFill="1" applyBorder="1" applyAlignment="1">
      <alignment vertical="center"/>
    </xf>
    <xf numFmtId="166" fontId="38" fillId="4" borderId="21" xfId="3" applyNumberFormat="1" applyFont="1" applyFill="1" applyBorder="1" applyAlignment="1">
      <alignment horizontal="center" vertical="center"/>
    </xf>
    <xf numFmtId="2" fontId="74" fillId="0" borderId="0" xfId="2" applyNumberFormat="1" applyFont="1" applyFill="1" applyAlignment="1">
      <alignment horizontal="center"/>
    </xf>
    <xf numFmtId="0" fontId="0" fillId="22" borderId="0" xfId="0" applyFill="1"/>
    <xf numFmtId="0" fontId="0" fillId="4" borderId="0" xfId="0" applyFill="1"/>
    <xf numFmtId="0" fontId="75" fillId="0" borderId="0" xfId="0" applyFont="1" applyAlignment="1">
      <alignment horizontal="right" vertical="center"/>
    </xf>
    <xf numFmtId="0" fontId="1" fillId="0" borderId="0" xfId="2" applyAlignment="1">
      <alignment horizontal="center" vertical="center"/>
    </xf>
    <xf numFmtId="0" fontId="4" fillId="4" borderId="0" xfId="1" applyFill="1" applyProtection="1">
      <protection hidden="1"/>
    </xf>
    <xf numFmtId="0" fontId="1" fillId="4" borderId="0" xfId="2" applyFill="1"/>
    <xf numFmtId="0" fontId="13" fillId="4" borderId="0" xfId="1" applyFont="1" applyFill="1" applyAlignment="1" applyProtection="1">
      <alignment horizontal="left"/>
      <protection hidden="1"/>
    </xf>
    <xf numFmtId="0" fontId="5" fillId="4" borderId="0" xfId="1" applyFont="1" applyFill="1" applyAlignment="1" applyProtection="1">
      <alignment horizontal="left"/>
      <protection hidden="1"/>
    </xf>
    <xf numFmtId="0" fontId="80" fillId="4" borderId="0" xfId="1" applyFont="1" applyFill="1" applyProtection="1">
      <protection hidden="1"/>
    </xf>
    <xf numFmtId="0" fontId="5" fillId="4" borderId="0" xfId="1" applyFont="1" applyFill="1" applyProtection="1">
      <protection hidden="1"/>
    </xf>
    <xf numFmtId="0" fontId="3" fillId="4" borderId="0" xfId="2" applyFont="1" applyFill="1"/>
    <xf numFmtId="0" fontId="81" fillId="4" borderId="0" xfId="0" applyFont="1" applyFill="1"/>
    <xf numFmtId="0" fontId="82" fillId="4" borderId="0" xfId="1" applyFont="1" applyFill="1" applyProtection="1">
      <protection hidden="1"/>
    </xf>
    <xf numFmtId="0" fontId="84" fillId="4" borderId="0" xfId="2" applyFont="1" applyFill="1" applyBorder="1" applyAlignment="1">
      <alignment horizontal="left" vertical="center"/>
    </xf>
    <xf numFmtId="0" fontId="0" fillId="4" borderId="0" xfId="2" applyFont="1" applyFill="1"/>
    <xf numFmtId="0" fontId="26" fillId="4" borderId="0" xfId="1" applyFont="1" applyFill="1" applyBorder="1" applyAlignment="1" applyProtection="1">
      <alignment vertical="center"/>
      <protection hidden="1"/>
    </xf>
    <xf numFmtId="0" fontId="85" fillId="4" borderId="0" xfId="0" applyFont="1" applyFill="1"/>
    <xf numFmtId="0" fontId="82" fillId="4" borderId="0" xfId="1" applyFont="1" applyFill="1" applyAlignment="1" applyProtection="1">
      <alignment vertical="center"/>
      <protection hidden="1"/>
    </xf>
    <xf numFmtId="0" fontId="4" fillId="4" borderId="0" xfId="1" applyFill="1" applyAlignment="1" applyProtection="1">
      <alignment vertical="center"/>
      <protection hidden="1"/>
    </xf>
    <xf numFmtId="0" fontId="84" fillId="18" borderId="0" xfId="2" applyFont="1" applyFill="1" applyBorder="1" applyAlignment="1">
      <alignment horizontal="left" vertical="center"/>
    </xf>
    <xf numFmtId="0" fontId="5" fillId="4" borderId="0" xfId="1" applyFont="1" applyFill="1" applyAlignment="1" applyProtection="1">
      <alignment vertical="center"/>
      <protection hidden="1"/>
    </xf>
    <xf numFmtId="2" fontId="62" fillId="4" borderId="0" xfId="2" applyNumberFormat="1" applyFont="1" applyFill="1" applyBorder="1" applyAlignment="1">
      <alignment horizontal="center" vertical="center"/>
    </xf>
    <xf numFmtId="0" fontId="1" fillId="0" borderId="0" xfId="2"/>
    <xf numFmtId="0" fontId="89" fillId="4" borderId="0" xfId="11" applyFont="1" applyFill="1" applyAlignment="1" applyProtection="1">
      <alignment vertical="center"/>
      <protection hidden="1"/>
    </xf>
    <xf numFmtId="0" fontId="4" fillId="4" borderId="0" xfId="1" applyFill="1"/>
    <xf numFmtId="0" fontId="91" fillId="4" borderId="0" xfId="1" applyFont="1" applyFill="1" applyBorder="1" applyAlignment="1">
      <alignment horizontal="centerContinuous" vertical="center"/>
    </xf>
    <xf numFmtId="0" fontId="4" fillId="1" borderId="0" xfId="1" applyFill="1" applyBorder="1" applyAlignment="1">
      <alignment vertical="center"/>
    </xf>
    <xf numFmtId="0" fontId="4" fillId="1" borderId="5" xfId="1" applyFill="1" applyBorder="1" applyAlignment="1">
      <alignment vertical="center"/>
    </xf>
    <xf numFmtId="0" fontId="4" fillId="4" borderId="0" xfId="1" applyFill="1" applyBorder="1" applyAlignment="1">
      <alignment horizontal="centerContinuous" vertical="center"/>
    </xf>
    <xf numFmtId="0" fontId="4" fillId="4" borderId="5" xfId="1" applyFill="1" applyBorder="1" applyAlignment="1">
      <alignment horizontal="center" vertical="center"/>
    </xf>
    <xf numFmtId="0" fontId="4" fillId="4" borderId="1" xfId="1" applyFill="1" applyBorder="1" applyAlignment="1">
      <alignment horizontal="centerContinuous" vertical="center"/>
    </xf>
    <xf numFmtId="0" fontId="4" fillId="19" borderId="9" xfId="2" applyFont="1" applyFill="1" applyBorder="1" applyAlignment="1">
      <alignment horizontal="centerContinuous" vertical="center" wrapText="1"/>
    </xf>
    <xf numFmtId="0" fontId="4" fillId="19" borderId="8" xfId="2" applyFont="1" applyFill="1" applyBorder="1" applyAlignment="1">
      <alignment horizontal="centerContinuous" vertical="center" wrapText="1"/>
    </xf>
    <xf numFmtId="0" fontId="13" fillId="19" borderId="9" xfId="2" applyFont="1" applyFill="1" applyBorder="1" applyAlignment="1">
      <alignment horizontal="centerContinuous" vertical="center"/>
    </xf>
    <xf numFmtId="0" fontId="1" fillId="19" borderId="9" xfId="2" applyFill="1" applyBorder="1" applyAlignment="1">
      <alignment horizontal="centerContinuous" vertical="center"/>
    </xf>
    <xf numFmtId="0" fontId="1" fillId="19" borderId="8" xfId="2" applyFill="1" applyBorder="1" applyAlignment="1">
      <alignment horizontal="centerContinuous" vertical="center"/>
    </xf>
    <xf numFmtId="170" fontId="4" fillId="0" borderId="6" xfId="2" applyNumberFormat="1" applyFont="1" applyFill="1" applyBorder="1" applyAlignment="1" applyProtection="1">
      <alignment horizontal="center" vertical="center" wrapText="1"/>
      <protection locked="0"/>
    </xf>
    <xf numFmtId="170" fontId="4" fillId="0" borderId="0" xfId="2" applyNumberFormat="1" applyFont="1" applyFill="1" applyBorder="1" applyAlignment="1" applyProtection="1">
      <alignment horizontal="center" vertical="center" wrapText="1"/>
      <protection locked="0"/>
    </xf>
    <xf numFmtId="170" fontId="4" fillId="0" borderId="5" xfId="2" applyNumberFormat="1" applyFont="1" applyFill="1" applyBorder="1" applyAlignment="1" applyProtection="1">
      <alignment horizontal="center" vertical="center" wrapText="1"/>
      <protection locked="0"/>
    </xf>
    <xf numFmtId="174" fontId="4" fillId="0" borderId="6" xfId="4" applyNumberFormat="1" applyFont="1" applyFill="1" applyBorder="1" applyAlignment="1">
      <alignment horizontal="center" vertical="center"/>
    </xf>
    <xf numFmtId="174" fontId="4" fillId="0" borderId="0" xfId="4" applyNumberFormat="1" applyFont="1" applyFill="1" applyBorder="1" applyAlignment="1">
      <alignment horizontal="center" vertical="center"/>
    </xf>
    <xf numFmtId="174" fontId="4" fillId="0" borderId="5" xfId="4" applyNumberFormat="1" applyFont="1" applyFill="1" applyBorder="1" applyAlignment="1">
      <alignment horizontal="center" vertical="center"/>
    </xf>
    <xf numFmtId="0" fontId="4" fillId="4" borderId="3" xfId="1" applyFill="1" applyBorder="1" applyProtection="1">
      <protection hidden="1"/>
    </xf>
    <xf numFmtId="0" fontId="29" fillId="4" borderId="0" xfId="4" applyNumberFormat="1" applyFont="1" applyFill="1" applyBorder="1" applyAlignment="1" applyProtection="1">
      <alignment horizontal="center" vertical="center"/>
      <protection locked="0"/>
    </xf>
    <xf numFmtId="0" fontId="104" fillId="4" borderId="0" xfId="2" applyFont="1" applyFill="1" applyBorder="1" applyAlignment="1">
      <alignment horizontal="left" vertical="center"/>
    </xf>
    <xf numFmtId="0" fontId="46" fillId="4" borderId="0" xfId="2" applyNumberFormat="1" applyFont="1" applyFill="1" applyBorder="1" applyAlignment="1">
      <alignment horizontal="right" vertical="center"/>
    </xf>
    <xf numFmtId="0" fontId="13" fillId="4" borderId="0" xfId="2" applyFont="1" applyFill="1" applyBorder="1" applyAlignment="1">
      <alignment horizontal="center" vertical="center"/>
    </xf>
    <xf numFmtId="2" fontId="44" fillId="4" borderId="0" xfId="2" applyNumberFormat="1" applyFont="1" applyFill="1" applyBorder="1" applyAlignment="1">
      <alignment horizontal="left" vertical="center"/>
    </xf>
    <xf numFmtId="0" fontId="1" fillId="0" borderId="47" xfId="2" applyBorder="1"/>
    <xf numFmtId="0" fontId="1" fillId="4" borderId="0" xfId="2" applyFill="1" applyBorder="1"/>
    <xf numFmtId="0" fontId="47" fillId="4" borderId="0" xfId="2" applyNumberFormat="1" applyFont="1" applyFill="1" applyBorder="1" applyAlignment="1">
      <alignment horizontal="right" vertical="center"/>
    </xf>
    <xf numFmtId="0" fontId="106" fillId="4" borderId="0" xfId="2" applyFont="1" applyFill="1" applyBorder="1" applyAlignment="1">
      <alignment horizontal="center" vertical="center"/>
    </xf>
    <xf numFmtId="175" fontId="47" fillId="25" borderId="48" xfId="2" applyNumberFormat="1" applyFont="1" applyFill="1" applyBorder="1" applyAlignment="1" applyProtection="1">
      <alignment horizontal="center" vertical="center"/>
      <protection locked="0"/>
    </xf>
    <xf numFmtId="0" fontId="107" fillId="4" borderId="0" xfId="1" applyNumberFormat="1" applyFont="1" applyFill="1" applyBorder="1" applyAlignment="1">
      <alignment horizontal="left" vertical="center"/>
    </xf>
    <xf numFmtId="0" fontId="13" fillId="4" borderId="0" xfId="4" applyNumberFormat="1" applyFont="1" applyFill="1" applyBorder="1" applyAlignment="1">
      <alignment horizontal="right" vertical="center"/>
    </xf>
    <xf numFmtId="0" fontId="13" fillId="4" borderId="0" xfId="4" applyNumberFormat="1" applyFont="1" applyFill="1" applyBorder="1" applyAlignment="1">
      <alignment horizontal="center" vertical="center"/>
    </xf>
    <xf numFmtId="0" fontId="44" fillId="4" borderId="0" xfId="2" applyNumberFormat="1" applyFont="1" applyFill="1" applyBorder="1" applyAlignment="1">
      <alignment horizontal="right" vertical="center"/>
    </xf>
    <xf numFmtId="167" fontId="44" fillId="4" borderId="49" xfId="4" applyNumberFormat="1" applyFont="1" applyFill="1" applyBorder="1" applyAlignment="1">
      <alignment horizontal="center" vertical="center"/>
    </xf>
    <xf numFmtId="176" fontId="44" fillId="4" borderId="0" xfId="4" applyNumberFormat="1" applyFont="1" applyFill="1" applyBorder="1" applyAlignment="1">
      <alignment horizontal="centerContinuous" vertical="center"/>
    </xf>
    <xf numFmtId="0" fontId="44" fillId="4" borderId="0" xfId="2" applyNumberFormat="1" applyFont="1" applyFill="1" applyBorder="1" applyAlignment="1">
      <alignment horizontal="left" vertical="center"/>
    </xf>
    <xf numFmtId="0" fontId="13" fillId="4" borderId="0" xfId="2" applyNumberFormat="1" applyFont="1" applyFill="1" applyBorder="1" applyAlignment="1">
      <alignment horizontal="right" vertical="center"/>
    </xf>
    <xf numFmtId="167" fontId="13" fillId="4" borderId="49" xfId="4" applyNumberFormat="1" applyFont="1" applyFill="1" applyBorder="1" applyAlignment="1">
      <alignment horizontal="center" vertical="center"/>
    </xf>
    <xf numFmtId="176" fontId="51" fillId="4" borderId="0" xfId="4" applyNumberFormat="1" applyFont="1" applyFill="1" applyBorder="1" applyAlignment="1">
      <alignment horizontal="centerContinuous" vertical="center"/>
    </xf>
    <xf numFmtId="176" fontId="13" fillId="4" borderId="0" xfId="4" applyNumberFormat="1" applyFont="1" applyFill="1" applyBorder="1" applyAlignment="1">
      <alignment horizontal="centerContinuous" vertical="center"/>
    </xf>
    <xf numFmtId="0" fontId="13" fillId="4" borderId="0" xfId="2" applyNumberFormat="1" applyFont="1" applyFill="1" applyBorder="1" applyAlignment="1">
      <alignment horizontal="left" vertical="center"/>
    </xf>
    <xf numFmtId="176" fontId="108" fillId="4" borderId="0" xfId="4" applyNumberFormat="1" applyFont="1" applyFill="1" applyBorder="1" applyAlignment="1">
      <alignment horizontal="centerContinuous" vertical="center"/>
    </xf>
    <xf numFmtId="0" fontId="108" fillId="4" borderId="0" xfId="2" applyNumberFormat="1" applyFont="1" applyFill="1" applyBorder="1" applyAlignment="1">
      <alignment horizontal="left" vertical="center"/>
    </xf>
    <xf numFmtId="0" fontId="109" fillId="4" borderId="0" xfId="2" applyFont="1" applyFill="1" applyBorder="1" applyAlignment="1">
      <alignment horizontal="left" vertical="center"/>
    </xf>
    <xf numFmtId="168" fontId="108" fillId="4" borderId="0" xfId="4" applyNumberFormat="1" applyFont="1" applyFill="1" applyBorder="1" applyAlignment="1">
      <alignment horizontal="centerContinuous" vertical="center"/>
    </xf>
    <xf numFmtId="0" fontId="107" fillId="4" borderId="0" xfId="1" applyNumberFormat="1" applyFont="1" applyFill="1" applyBorder="1" applyAlignment="1">
      <alignment horizontal="center" vertical="center"/>
    </xf>
    <xf numFmtId="0" fontId="110" fillId="4" borderId="0" xfId="2" applyFont="1" applyFill="1" applyBorder="1" applyAlignment="1">
      <alignment horizontal="left" vertical="center"/>
    </xf>
    <xf numFmtId="0" fontId="111" fillId="4" borderId="0" xfId="2" applyFont="1" applyFill="1" applyBorder="1" applyAlignment="1">
      <alignment horizontal="left" vertical="center"/>
    </xf>
    <xf numFmtId="0" fontId="4" fillId="4" borderId="4" xfId="1" applyFill="1" applyBorder="1" applyProtection="1">
      <protection hidden="1"/>
    </xf>
    <xf numFmtId="0" fontId="112" fillId="41" borderId="0" xfId="1" applyFont="1" applyFill="1" applyBorder="1" applyAlignment="1" applyProtection="1">
      <alignment horizontal="center" vertical="center" wrapText="1"/>
      <protection hidden="1"/>
    </xf>
    <xf numFmtId="170" fontId="97" fillId="40" borderId="0" xfId="2" applyNumberFormat="1" applyFont="1" applyFill="1" applyBorder="1" applyAlignment="1" applyProtection="1">
      <alignment horizontal="center" vertical="center"/>
      <protection locked="0"/>
    </xf>
    <xf numFmtId="170" fontId="113" fillId="4" borderId="0" xfId="2" applyNumberFormat="1" applyFont="1" applyFill="1" applyBorder="1" applyAlignment="1">
      <alignment vertical="center"/>
    </xf>
    <xf numFmtId="170" fontId="58" fillId="0" borderId="0" xfId="2" applyNumberFormat="1" applyFont="1" applyFill="1" applyBorder="1" applyAlignment="1" applyProtection="1">
      <alignment horizontal="center" vertical="center" wrapText="1"/>
      <protection locked="0"/>
    </xf>
    <xf numFmtId="171" fontId="114" fillId="25" borderId="0" xfId="2" applyNumberFormat="1" applyFont="1" applyFill="1" applyBorder="1" applyAlignment="1" applyProtection="1">
      <alignment horizontal="center" vertical="center"/>
      <protection locked="0"/>
    </xf>
    <xf numFmtId="171" fontId="98" fillId="25" borderId="0" xfId="2" applyNumberFormat="1" applyFont="1" applyFill="1" applyBorder="1" applyAlignment="1" applyProtection="1">
      <alignment horizontal="center" vertical="center"/>
      <protection locked="0"/>
    </xf>
    <xf numFmtId="171" fontId="115" fillId="4" borderId="0" xfId="2" applyNumberFormat="1" applyFont="1" applyFill="1" applyBorder="1" applyAlignment="1" applyProtection="1">
      <alignment horizontal="center" vertical="center"/>
      <protection locked="0"/>
    </xf>
    <xf numFmtId="0" fontId="94" fillId="4" borderId="0" xfId="2" applyFont="1" applyFill="1" applyBorder="1" applyAlignment="1">
      <alignment vertical="center"/>
    </xf>
    <xf numFmtId="0" fontId="1" fillId="4" borderId="0" xfId="2" applyFill="1" applyBorder="1" applyAlignment="1">
      <alignment vertical="center"/>
    </xf>
    <xf numFmtId="0" fontId="4" fillId="4" borderId="0" xfId="1" applyFill="1" applyBorder="1" applyProtection="1">
      <protection hidden="1"/>
    </xf>
    <xf numFmtId="0" fontId="1" fillId="4" borderId="4" xfId="2" applyFill="1" applyBorder="1"/>
    <xf numFmtId="9" fontId="1" fillId="4" borderId="4" xfId="2" applyNumberFormat="1" applyFill="1" applyBorder="1" applyAlignment="1">
      <alignment vertical="center"/>
    </xf>
    <xf numFmtId="0" fontId="1" fillId="4" borderId="4" xfId="2" applyFill="1" applyBorder="1" applyAlignment="1">
      <alignment vertical="center"/>
    </xf>
    <xf numFmtId="0" fontId="1" fillId="0" borderId="6" xfId="2" applyBorder="1"/>
    <xf numFmtId="0" fontId="91" fillId="4" borderId="0" xfId="14" applyFont="1" applyFill="1" applyBorder="1" applyAlignment="1">
      <alignment horizontal="right" vertical="center"/>
    </xf>
    <xf numFmtId="177" fontId="91" fillId="4" borderId="0" xfId="14" applyNumberFormat="1" applyFont="1" applyFill="1" applyBorder="1" applyAlignment="1">
      <alignment horizontal="centerContinuous" vertical="center"/>
    </xf>
    <xf numFmtId="177" fontId="118" fillId="4" borderId="0" xfId="14" applyNumberFormat="1" applyFont="1" applyFill="1" applyBorder="1" applyAlignment="1">
      <alignment horizontal="centerContinuous" vertical="center"/>
    </xf>
    <xf numFmtId="0" fontId="19" fillId="4" borderId="0" xfId="12" applyFill="1" applyBorder="1" applyAlignment="1">
      <alignment horizontal="centerContinuous" vertical="center"/>
    </xf>
    <xf numFmtId="178" fontId="91" fillId="4" borderId="0" xfId="14" applyNumberFormat="1" applyFont="1" applyFill="1" applyBorder="1" applyAlignment="1">
      <alignment horizontal="center" vertical="center"/>
    </xf>
    <xf numFmtId="0" fontId="117" fillId="4" borderId="5" xfId="12" applyFont="1" applyFill="1" applyBorder="1" applyAlignment="1">
      <alignment horizontal="center" vertical="center"/>
    </xf>
    <xf numFmtId="174" fontId="119" fillId="4" borderId="0" xfId="4" applyNumberFormat="1" applyFont="1" applyFill="1" applyBorder="1" applyAlignment="1">
      <alignment vertical="center"/>
    </xf>
    <xf numFmtId="174" fontId="13" fillId="4" borderId="0" xfId="4" applyNumberFormat="1" applyFont="1" applyFill="1" applyBorder="1" applyAlignment="1">
      <alignment vertical="center"/>
    </xf>
    <xf numFmtId="174" fontId="13" fillId="4" borderId="5" xfId="4" applyNumberFormat="1" applyFont="1" applyFill="1" applyBorder="1" applyAlignment="1">
      <alignment vertical="center"/>
    </xf>
    <xf numFmtId="174" fontId="91" fillId="4" borderId="0" xfId="4" applyNumberFormat="1" applyFont="1" applyFill="1" applyBorder="1" applyAlignment="1">
      <alignment vertical="center" wrapText="1"/>
    </xf>
    <xf numFmtId="2" fontId="91" fillId="4" borderId="0" xfId="4" applyNumberFormat="1" applyFont="1" applyFill="1" applyBorder="1" applyAlignment="1">
      <alignment horizontal="center" vertical="center"/>
    </xf>
    <xf numFmtId="170" fontId="91" fillId="4" borderId="0" xfId="4" applyNumberFormat="1" applyFont="1" applyFill="1" applyBorder="1" applyAlignment="1">
      <alignment horizontal="center" vertical="center"/>
    </xf>
    <xf numFmtId="175" fontId="91" fillId="4" borderId="5" xfId="12" applyNumberFormat="1" applyFont="1" applyFill="1" applyBorder="1" applyAlignment="1" applyProtection="1">
      <alignment horizontal="center" vertical="center"/>
      <protection locked="0"/>
    </xf>
    <xf numFmtId="0" fontId="13" fillId="4" borderId="0" xfId="12" applyFont="1" applyFill="1" applyBorder="1" applyAlignment="1">
      <alignment horizontal="center" vertical="center"/>
    </xf>
    <xf numFmtId="0" fontId="97" fillId="25" borderId="50" xfId="4" applyNumberFormat="1" applyFont="1" applyFill="1" applyBorder="1" applyAlignment="1">
      <alignment horizontal="center" vertical="center"/>
    </xf>
    <xf numFmtId="0" fontId="97" fillId="25" borderId="51" xfId="4" applyNumberFormat="1" applyFont="1" applyFill="1" applyBorder="1" applyAlignment="1">
      <alignment horizontal="center" vertical="center"/>
    </xf>
    <xf numFmtId="0" fontId="43" fillId="4" borderId="6" xfId="2" applyFont="1" applyFill="1" applyBorder="1" applyAlignment="1">
      <alignment horizontal="center" vertical="center"/>
    </xf>
    <xf numFmtId="0" fontId="97" fillId="4" borderId="0" xfId="4" applyNumberFormat="1" applyFont="1" applyFill="1" applyBorder="1" applyAlignment="1">
      <alignment horizontal="center" vertical="center"/>
    </xf>
    <xf numFmtId="0" fontId="97" fillId="4" borderId="5" xfId="4" applyNumberFormat="1" applyFont="1" applyFill="1" applyBorder="1" applyAlignment="1">
      <alignment horizontal="center" vertical="center"/>
    </xf>
    <xf numFmtId="0" fontId="1" fillId="4" borderId="5" xfId="2" applyFill="1" applyBorder="1"/>
    <xf numFmtId="0" fontId="5" fillId="4" borderId="0" xfId="2" applyFont="1" applyFill="1" applyBorder="1" applyAlignment="1">
      <alignment horizontal="center" vertical="center"/>
    </xf>
    <xf numFmtId="1" fontId="106" fillId="25" borderId="0" xfId="4" applyNumberFormat="1" applyFont="1" applyFill="1" applyBorder="1" applyAlignment="1">
      <alignment horizontal="center" vertical="center"/>
    </xf>
    <xf numFmtId="1" fontId="106" fillId="25" borderId="5" xfId="4" applyNumberFormat="1" applyFont="1" applyFill="1" applyBorder="1" applyAlignment="1">
      <alignment horizontal="center" vertical="center"/>
    </xf>
    <xf numFmtId="169" fontId="106" fillId="25" borderId="0" xfId="4" applyNumberFormat="1" applyFont="1" applyFill="1" applyBorder="1" applyAlignment="1">
      <alignment horizontal="center" vertical="center"/>
    </xf>
    <xf numFmtId="0" fontId="91" fillId="4" borderId="0" xfId="2" applyFont="1" applyFill="1" applyBorder="1" applyAlignment="1">
      <alignment horizontal="right" vertical="center"/>
    </xf>
    <xf numFmtId="0" fontId="13" fillId="4" borderId="0" xfId="2" applyFont="1" applyFill="1" applyBorder="1" applyAlignment="1">
      <alignment horizontal="right" vertical="center"/>
    </xf>
    <xf numFmtId="169" fontId="5" fillId="4" borderId="0" xfId="4" applyNumberFormat="1" applyFont="1" applyFill="1" applyBorder="1" applyAlignment="1">
      <alignment horizontal="center" vertical="center"/>
    </xf>
    <xf numFmtId="169" fontId="5" fillId="4" borderId="5" xfId="4" applyNumberFormat="1" applyFont="1" applyFill="1" applyBorder="1" applyAlignment="1">
      <alignment horizontal="center" vertical="center"/>
    </xf>
    <xf numFmtId="170" fontId="113" fillId="4" borderId="6" xfId="2" applyNumberFormat="1" applyFont="1" applyFill="1" applyBorder="1" applyAlignment="1">
      <alignment vertical="center"/>
    </xf>
    <xf numFmtId="169" fontId="106" fillId="4" borderId="0" xfId="4" applyNumberFormat="1" applyFont="1" applyFill="1" applyBorder="1" applyAlignment="1">
      <alignment horizontal="center" vertical="center"/>
    </xf>
    <xf numFmtId="169" fontId="106" fillId="4" borderId="5" xfId="4" applyNumberFormat="1" applyFont="1" applyFill="1" applyBorder="1" applyAlignment="1">
      <alignment horizontal="center" vertical="center"/>
    </xf>
    <xf numFmtId="179" fontId="5" fillId="4" borderId="0" xfId="4" applyNumberFormat="1" applyFont="1" applyFill="1" applyBorder="1" applyAlignment="1">
      <alignment horizontal="center" vertical="center"/>
    </xf>
    <xf numFmtId="170" fontId="106" fillId="25" borderId="0" xfId="4" applyNumberFormat="1" applyFont="1" applyFill="1" applyBorder="1" applyAlignment="1">
      <alignment horizontal="center" vertical="center"/>
    </xf>
    <xf numFmtId="170" fontId="106" fillId="25" borderId="5" xfId="4" applyNumberFormat="1" applyFont="1" applyFill="1" applyBorder="1" applyAlignment="1">
      <alignment horizontal="center" vertical="center"/>
    </xf>
    <xf numFmtId="0" fontId="121" fillId="4" borderId="0" xfId="2" applyFont="1" applyFill="1" applyBorder="1" applyAlignment="1">
      <alignment horizontal="right" vertical="center"/>
    </xf>
    <xf numFmtId="0" fontId="122" fillId="4" borderId="0" xfId="2" applyFont="1" applyFill="1" applyBorder="1"/>
    <xf numFmtId="0" fontId="123" fillId="4" borderId="0" xfId="1" applyFont="1" applyFill="1" applyBorder="1" applyProtection="1">
      <protection hidden="1"/>
    </xf>
    <xf numFmtId="170" fontId="113" fillId="4" borderId="1" xfId="2" applyNumberFormat="1" applyFont="1" applyFill="1" applyBorder="1" applyAlignment="1">
      <alignment vertical="center"/>
    </xf>
    <xf numFmtId="0" fontId="1" fillId="4" borderId="1" xfId="2" applyFill="1" applyBorder="1"/>
    <xf numFmtId="0" fontId="4" fillId="4" borderId="1" xfId="1" applyFill="1" applyBorder="1" applyProtection="1">
      <protection hidden="1"/>
    </xf>
    <xf numFmtId="0" fontId="91" fillId="4" borderId="1" xfId="2" applyFont="1" applyFill="1" applyBorder="1" applyAlignment="1">
      <alignment horizontal="center" vertical="center"/>
    </xf>
    <xf numFmtId="170" fontId="94" fillId="4" borderId="1" xfId="2" applyNumberFormat="1" applyFont="1" applyFill="1" applyBorder="1" applyAlignment="1" applyProtection="1">
      <alignment horizontal="center" vertical="center" wrapText="1"/>
      <protection locked="0"/>
    </xf>
    <xf numFmtId="0" fontId="44" fillId="21" borderId="6" xfId="2" applyFont="1" applyFill="1" applyBorder="1" applyAlignment="1">
      <alignment horizontal="centerContinuous" vertical="center"/>
    </xf>
    <xf numFmtId="0" fontId="1" fillId="21" borderId="0" xfId="2" applyFill="1" applyBorder="1" applyAlignment="1">
      <alignment horizontal="centerContinuous" vertical="center"/>
    </xf>
    <xf numFmtId="0" fontId="1" fillId="21" borderId="0" xfId="2" applyFill="1" applyBorder="1" applyAlignment="1">
      <alignment vertical="center"/>
    </xf>
    <xf numFmtId="0" fontId="1" fillId="21" borderId="5" xfId="2" applyFill="1" applyBorder="1" applyAlignment="1">
      <alignment vertical="center"/>
    </xf>
    <xf numFmtId="174" fontId="124" fillId="4" borderId="6" xfId="4" applyNumberFormat="1" applyFont="1" applyFill="1" applyBorder="1" applyAlignment="1">
      <alignment horizontal="center" vertical="center" wrapText="1"/>
    </xf>
    <xf numFmtId="174" fontId="124" fillId="4" borderId="0" xfId="4" applyNumberFormat="1" applyFont="1" applyFill="1" applyBorder="1" applyAlignment="1">
      <alignment horizontal="center" vertical="center" wrapText="1"/>
    </xf>
    <xf numFmtId="170" fontId="47" fillId="4" borderId="0" xfId="4" applyNumberFormat="1" applyFont="1" applyFill="1" applyBorder="1" applyAlignment="1">
      <alignment horizontal="center" vertical="center"/>
    </xf>
    <xf numFmtId="170" fontId="46" fillId="4" borderId="5" xfId="4" applyNumberFormat="1" applyFont="1" applyFill="1" applyBorder="1" applyAlignment="1">
      <alignment horizontal="center" vertical="center"/>
    </xf>
    <xf numFmtId="0" fontId="44" fillId="43" borderId="0" xfId="2" applyFont="1" applyFill="1" applyBorder="1" applyAlignment="1">
      <alignment vertical="center"/>
    </xf>
    <xf numFmtId="0" fontId="4" fillId="43" borderId="5" xfId="2" applyFont="1" applyFill="1" applyBorder="1" applyAlignment="1">
      <alignment vertical="center"/>
    </xf>
    <xf numFmtId="0" fontId="4" fillId="4" borderId="6" xfId="2" applyFont="1" applyFill="1" applyBorder="1" applyAlignment="1">
      <alignment horizontal="center" vertical="center" wrapText="1"/>
    </xf>
    <xf numFmtId="0" fontId="4" fillId="4" borderId="0" xfId="2" applyFont="1" applyFill="1" applyBorder="1" applyAlignment="1">
      <alignment horizontal="center" vertical="center" wrapText="1"/>
    </xf>
    <xf numFmtId="2" fontId="13" fillId="4" borderId="0" xfId="2" applyNumberFormat="1" applyFont="1" applyFill="1" applyBorder="1" applyAlignment="1">
      <alignment horizontal="center" vertical="center"/>
    </xf>
    <xf numFmtId="0" fontId="13" fillId="4" borderId="0" xfId="2" applyFont="1" applyFill="1" applyBorder="1" applyAlignment="1">
      <alignment horizontal="left" vertical="center"/>
    </xf>
    <xf numFmtId="0" fontId="44" fillId="4" borderId="0" xfId="2" applyFont="1" applyFill="1" applyBorder="1" applyAlignment="1">
      <alignment vertical="center"/>
    </xf>
    <xf numFmtId="0" fontId="4" fillId="4" borderId="5" xfId="2" applyFont="1" applyFill="1" applyBorder="1" applyAlignment="1">
      <alignment vertical="center"/>
    </xf>
    <xf numFmtId="0" fontId="94" fillId="22" borderId="0" xfId="2" applyFont="1" applyFill="1" applyBorder="1" applyAlignment="1">
      <alignment horizontal="centerContinuous" vertical="center"/>
    </xf>
    <xf numFmtId="174" fontId="126" fillId="18" borderId="6" xfId="4" applyNumberFormat="1" applyFont="1" applyFill="1" applyBorder="1" applyAlignment="1">
      <alignment horizontal="center" vertical="center" wrapText="1"/>
    </xf>
    <xf numFmtId="174" fontId="126" fillId="18" borderId="0" xfId="4" applyNumberFormat="1" applyFont="1" applyFill="1" applyBorder="1" applyAlignment="1">
      <alignment horizontal="center" vertical="center" wrapText="1"/>
    </xf>
    <xf numFmtId="1" fontId="126" fillId="18" borderId="0" xfId="4" applyNumberFormat="1" applyFont="1" applyFill="1" applyBorder="1" applyAlignment="1">
      <alignment horizontal="centerContinuous" vertical="center"/>
    </xf>
    <xf numFmtId="0" fontId="126" fillId="18" borderId="0" xfId="2" applyFont="1" applyFill="1" applyBorder="1" applyAlignment="1">
      <alignment horizontal="center" vertical="center" wrapText="1"/>
    </xf>
    <xf numFmtId="0" fontId="126" fillId="18" borderId="0" xfId="2" applyFont="1" applyFill="1" applyBorder="1" applyAlignment="1">
      <alignment horizontal="centerContinuous" vertical="center"/>
    </xf>
    <xf numFmtId="0" fontId="126" fillId="18" borderId="0" xfId="2" applyFont="1" applyFill="1" applyBorder="1" applyAlignment="1">
      <alignment horizontal="center" vertical="center"/>
    </xf>
    <xf numFmtId="170" fontId="126" fillId="44" borderId="5" xfId="4" applyNumberFormat="1" applyFont="1" applyFill="1" applyBorder="1" applyAlignment="1">
      <alignment horizontal="center" vertical="center"/>
    </xf>
    <xf numFmtId="170" fontId="126" fillId="18" borderId="6" xfId="4" applyNumberFormat="1" applyFont="1" applyFill="1" applyBorder="1" applyAlignment="1">
      <alignment horizontal="center" vertical="center"/>
    </xf>
    <xf numFmtId="170" fontId="126" fillId="18" borderId="0" xfId="4" applyNumberFormat="1" applyFont="1" applyFill="1" applyBorder="1" applyAlignment="1">
      <alignment horizontal="center" vertical="center"/>
    </xf>
    <xf numFmtId="1" fontId="126" fillId="18" borderId="0" xfId="4" applyNumberFormat="1" applyFont="1" applyFill="1" applyBorder="1" applyAlignment="1">
      <alignment horizontal="center" vertical="center"/>
    </xf>
    <xf numFmtId="2" fontId="126" fillId="18" borderId="0" xfId="4" applyNumberFormat="1" applyFont="1" applyFill="1" applyBorder="1" applyAlignment="1">
      <alignment horizontal="center" vertical="center"/>
    </xf>
    <xf numFmtId="0" fontId="126" fillId="18" borderId="5" xfId="2" applyFont="1" applyFill="1" applyBorder="1" applyAlignment="1">
      <alignment horizontal="center" vertical="center"/>
    </xf>
    <xf numFmtId="170" fontId="126" fillId="18" borderId="1" xfId="4" applyNumberFormat="1" applyFont="1" applyFill="1" applyBorder="1" applyAlignment="1">
      <alignment horizontal="center" vertical="center"/>
    </xf>
    <xf numFmtId="1" fontId="126" fillId="18" borderId="1" xfId="4" applyNumberFormat="1" applyFont="1" applyFill="1" applyBorder="1" applyAlignment="1">
      <alignment horizontal="center" vertical="center"/>
    </xf>
    <xf numFmtId="0" fontId="126" fillId="18" borderId="1" xfId="2" applyFont="1" applyFill="1" applyBorder="1" applyAlignment="1">
      <alignment horizontal="center" vertical="center"/>
    </xf>
    <xf numFmtId="2" fontId="126" fillId="18" borderId="1" xfId="4" applyNumberFormat="1" applyFont="1" applyFill="1" applyBorder="1" applyAlignment="1">
      <alignment horizontal="center" vertical="center"/>
    </xf>
    <xf numFmtId="0" fontId="4" fillId="42" borderId="0" xfId="1" applyFill="1" applyBorder="1" applyProtection="1">
      <protection hidden="1"/>
    </xf>
    <xf numFmtId="0" fontId="91" fillId="4" borderId="0" xfId="13" applyFont="1" applyFill="1" applyBorder="1" applyAlignment="1" applyProtection="1">
      <alignment horizontal="center" wrapText="1"/>
    </xf>
    <xf numFmtId="169" fontId="5" fillId="4" borderId="0" xfId="13" applyNumberFormat="1" applyFont="1" applyFill="1" applyBorder="1" applyAlignment="1" applyProtection="1">
      <alignment horizontal="left" vertical="center"/>
    </xf>
    <xf numFmtId="0" fontId="4" fillId="0" borderId="0" xfId="1" applyBorder="1" applyProtection="1">
      <protection hidden="1"/>
    </xf>
    <xf numFmtId="0" fontId="129" fillId="4" borderId="0" xfId="12" applyFont="1" applyFill="1" applyBorder="1"/>
    <xf numFmtId="0" fontId="4" fillId="45" borderId="0" xfId="1" applyFill="1" applyBorder="1" applyProtection="1">
      <protection hidden="1"/>
    </xf>
    <xf numFmtId="0" fontId="5" fillId="4" borderId="0" xfId="13" applyFont="1" applyFill="1" applyBorder="1" applyAlignment="1" applyProtection="1">
      <alignment vertical="center"/>
    </xf>
    <xf numFmtId="164" fontId="5" fillId="4" borderId="0" xfId="13" applyNumberFormat="1" applyFont="1" applyFill="1" applyBorder="1" applyAlignment="1" applyProtection="1">
      <alignment horizontal="center" vertical="center"/>
    </xf>
    <xf numFmtId="0" fontId="5" fillId="4" borderId="0" xfId="2" applyFont="1" applyFill="1" applyBorder="1" applyAlignment="1">
      <alignment horizontal="left" vertical="center"/>
    </xf>
    <xf numFmtId="0" fontId="4" fillId="0" borderId="4" xfId="1" applyBorder="1" applyProtection="1">
      <protection hidden="1"/>
    </xf>
    <xf numFmtId="0" fontId="102" fillId="4" borderId="0" xfId="12" applyFont="1" applyFill="1" applyBorder="1" applyAlignment="1">
      <alignment horizontal="center" vertical="center"/>
    </xf>
    <xf numFmtId="0" fontId="102" fillId="4" borderId="5" xfId="12" applyFont="1" applyFill="1" applyBorder="1" applyAlignment="1">
      <alignment horizontal="center" vertical="center"/>
    </xf>
    <xf numFmtId="0" fontId="133" fillId="4" borderId="0" xfId="2" applyFont="1" applyFill="1" applyBorder="1"/>
    <xf numFmtId="0" fontId="4" fillId="4" borderId="0" xfId="2" applyFont="1" applyFill="1" applyBorder="1"/>
    <xf numFmtId="0" fontId="4" fillId="4" borderId="5" xfId="2" applyFont="1" applyFill="1" applyBorder="1"/>
    <xf numFmtId="180" fontId="132" fillId="4" borderId="6" xfId="13" applyNumberFormat="1" applyFont="1" applyFill="1" applyBorder="1" applyAlignment="1" applyProtection="1">
      <alignment horizontal="left" vertical="center"/>
    </xf>
    <xf numFmtId="0" fontId="1" fillId="18" borderId="6" xfId="2" applyFill="1" applyBorder="1" applyAlignment="1">
      <alignment vertical="center"/>
    </xf>
    <xf numFmtId="0" fontId="1" fillId="18" borderId="0" xfId="2" applyFill="1" applyBorder="1" applyAlignment="1">
      <alignment vertical="center"/>
    </xf>
    <xf numFmtId="0" fontId="1" fillId="18" borderId="5" xfId="2" applyFill="1" applyBorder="1" applyAlignment="1">
      <alignment vertical="center"/>
    </xf>
    <xf numFmtId="0" fontId="138" fillId="0" borderId="0" xfId="2" applyFont="1" applyAlignment="1">
      <alignment horizontal="right" vertical="center"/>
    </xf>
    <xf numFmtId="0" fontId="1" fillId="18" borderId="0" xfId="2" applyFill="1" applyBorder="1" applyAlignment="1">
      <alignment horizontal="left" vertical="center"/>
    </xf>
    <xf numFmtId="0" fontId="139" fillId="18" borderId="0" xfId="2" applyFont="1" applyFill="1" applyBorder="1" applyAlignment="1">
      <alignment horizontal="right" vertical="center"/>
    </xf>
    <xf numFmtId="0" fontId="44" fillId="18" borderId="0" xfId="4" applyNumberFormat="1" applyFont="1" applyFill="1" applyBorder="1" applyAlignment="1">
      <alignment horizontal="center" vertical="center"/>
    </xf>
    <xf numFmtId="0" fontId="140" fillId="18" borderId="0" xfId="2" applyNumberFormat="1" applyFont="1" applyFill="1" applyBorder="1" applyAlignment="1">
      <alignment horizontal="right" vertical="center"/>
    </xf>
    <xf numFmtId="0" fontId="141" fillId="25" borderId="31" xfId="4" applyNumberFormat="1" applyFont="1" applyFill="1" applyBorder="1" applyAlignment="1">
      <alignment horizontal="center" vertical="center"/>
    </xf>
    <xf numFmtId="0" fontId="136" fillId="18" borderId="0" xfId="2" applyNumberFormat="1" applyFont="1" applyFill="1" applyBorder="1" applyAlignment="1">
      <alignment horizontal="left" vertical="center"/>
    </xf>
    <xf numFmtId="0" fontId="142" fillId="18" borderId="0" xfId="2" applyNumberFormat="1" applyFont="1" applyFill="1" applyBorder="1" applyAlignment="1">
      <alignment horizontal="right" vertical="center"/>
    </xf>
    <xf numFmtId="167" fontId="143" fillId="25" borderId="31" xfId="3" applyNumberFormat="1" applyFont="1" applyFill="1" applyBorder="1" applyAlignment="1">
      <alignment horizontal="center" vertical="center"/>
    </xf>
    <xf numFmtId="167" fontId="1" fillId="18" borderId="0" xfId="2" applyNumberFormat="1" applyFill="1" applyBorder="1" applyAlignment="1">
      <alignment horizontal="center" vertical="center"/>
    </xf>
    <xf numFmtId="0" fontId="136" fillId="18" borderId="0" xfId="2" applyNumberFormat="1" applyFont="1" applyFill="1" applyBorder="1" applyAlignment="1">
      <alignment horizontal="right" vertical="center"/>
    </xf>
    <xf numFmtId="2" fontId="144" fillId="18" borderId="54" xfId="3" applyNumberFormat="1" applyFont="1" applyFill="1" applyBorder="1" applyAlignment="1">
      <alignment horizontal="center" vertical="center"/>
    </xf>
    <xf numFmtId="0" fontId="1" fillId="18" borderId="54" xfId="2" applyFill="1" applyBorder="1" applyAlignment="1">
      <alignment horizontal="center" vertical="center"/>
    </xf>
    <xf numFmtId="0" fontId="1" fillId="0" borderId="6" xfId="2" applyBorder="1" applyAlignment="1">
      <alignment vertical="center"/>
    </xf>
    <xf numFmtId="0" fontId="136" fillId="0" borderId="0" xfId="2" applyNumberFormat="1" applyFont="1" applyBorder="1" applyAlignment="1">
      <alignment horizontal="right" vertical="center"/>
    </xf>
    <xf numFmtId="175" fontId="47" fillId="25" borderId="0" xfId="2" applyNumberFormat="1" applyFont="1" applyFill="1" applyBorder="1" applyAlignment="1" applyProtection="1">
      <alignment horizontal="center" vertical="center"/>
      <protection locked="0"/>
    </xf>
    <xf numFmtId="0" fontId="146" fillId="18" borderId="0" xfId="1" applyFont="1" applyFill="1" applyBorder="1" applyAlignment="1">
      <alignment horizontal="left" vertical="center"/>
    </xf>
    <xf numFmtId="0" fontId="1" fillId="0" borderId="0" xfId="2" applyAlignment="1">
      <alignment vertical="center"/>
    </xf>
    <xf numFmtId="169" fontId="13" fillId="18" borderId="0" xfId="2" applyNumberFormat="1" applyFont="1" applyFill="1" applyBorder="1" applyAlignment="1">
      <alignment horizontal="center" vertical="center"/>
    </xf>
    <xf numFmtId="0" fontId="138" fillId="18" borderId="54" xfId="2" applyFont="1" applyFill="1" applyBorder="1" applyAlignment="1">
      <alignment horizontal="center" vertical="center"/>
    </xf>
    <xf numFmtId="0" fontId="1" fillId="18" borderId="4" xfId="2" applyFill="1" applyBorder="1" applyAlignment="1">
      <alignment vertical="center"/>
    </xf>
    <xf numFmtId="0" fontId="137" fillId="18" borderId="6" xfId="1" applyFont="1" applyFill="1" applyBorder="1" applyAlignment="1">
      <alignment horizontal="center" vertical="center"/>
    </xf>
    <xf numFmtId="0" fontId="148" fillId="18" borderId="0" xfId="1" applyFont="1" applyFill="1" applyBorder="1" applyAlignment="1">
      <alignment vertical="center"/>
    </xf>
    <xf numFmtId="0" fontId="148" fillId="18" borderId="5" xfId="1" applyFont="1" applyFill="1" applyBorder="1" applyAlignment="1">
      <alignment vertical="center"/>
    </xf>
    <xf numFmtId="0" fontId="29" fillId="4" borderId="6" xfId="4" applyNumberFormat="1" applyFont="1" applyFill="1" applyBorder="1" applyAlignment="1">
      <alignment horizontal="right" vertical="center"/>
    </xf>
    <xf numFmtId="182" fontId="145" fillId="18" borderId="0" xfId="3" applyNumberFormat="1" applyFont="1" applyFill="1" applyBorder="1" applyAlignment="1">
      <alignment horizontal="center" vertical="center"/>
    </xf>
    <xf numFmtId="182" fontId="63" fillId="18" borderId="5" xfId="3" applyNumberFormat="1" applyFont="1" applyFill="1" applyBorder="1" applyAlignment="1">
      <alignment vertical="center"/>
    </xf>
    <xf numFmtId="0" fontId="146" fillId="18" borderId="6" xfId="1" applyFont="1" applyFill="1" applyBorder="1" applyAlignment="1">
      <alignment horizontal="center" vertical="center"/>
    </xf>
    <xf numFmtId="182" fontId="145" fillId="18" borderId="0" xfId="3" applyNumberFormat="1" applyFont="1" applyFill="1" applyBorder="1" applyAlignment="1">
      <alignment horizontal="left" vertical="center"/>
    </xf>
    <xf numFmtId="164" fontId="18" fillId="7" borderId="40" xfId="3" applyNumberFormat="1" applyFont="1" applyFill="1" applyBorder="1" applyAlignment="1">
      <alignment vertical="center"/>
    </xf>
    <xf numFmtId="164" fontId="18" fillId="7" borderId="6" xfId="3" applyNumberFormat="1" applyFont="1" applyFill="1" applyBorder="1" applyAlignment="1">
      <alignment horizontal="left" vertical="center"/>
    </xf>
    <xf numFmtId="0" fontId="1" fillId="18" borderId="6" xfId="2" applyFill="1" applyBorder="1"/>
    <xf numFmtId="0" fontId="1" fillId="18" borderId="0" xfId="2" applyFill="1" applyBorder="1"/>
    <xf numFmtId="0" fontId="1" fillId="18" borderId="5" xfId="2" applyFill="1" applyBorder="1"/>
    <xf numFmtId="0" fontId="1" fillId="0" borderId="0" xfId="2" applyBorder="1"/>
    <xf numFmtId="0" fontId="138" fillId="18" borderId="6" xfId="2" applyFont="1" applyFill="1" applyBorder="1" applyAlignment="1">
      <alignment vertical="center" wrapText="1"/>
    </xf>
    <xf numFmtId="0" fontId="138" fillId="18" borderId="0" xfId="2" applyFont="1" applyFill="1" applyBorder="1" applyAlignment="1">
      <alignment vertical="center" wrapText="1"/>
    </xf>
    <xf numFmtId="0" fontId="138" fillId="0" borderId="0" xfId="2" applyFont="1" applyBorder="1" applyAlignment="1">
      <alignment horizontal="right"/>
    </xf>
    <xf numFmtId="0" fontId="139" fillId="18" borderId="0" xfId="2" applyFont="1" applyFill="1" applyBorder="1" applyAlignment="1">
      <alignment horizontal="right"/>
    </xf>
    <xf numFmtId="164" fontId="150" fillId="25" borderId="59" xfId="3" applyNumberFormat="1" applyFont="1" applyFill="1" applyBorder="1" applyAlignment="1">
      <alignment horizontal="center" vertical="center"/>
    </xf>
    <xf numFmtId="1" fontId="151" fillId="18" borderId="54" xfId="3" applyNumberFormat="1" applyFont="1" applyFill="1" applyBorder="1" applyAlignment="1">
      <alignment horizontal="center" vertical="center"/>
    </xf>
    <xf numFmtId="0" fontId="152" fillId="18" borderId="6" xfId="1" applyFont="1" applyFill="1" applyBorder="1" applyAlignment="1">
      <alignment horizontal="center" vertical="center"/>
    </xf>
    <xf numFmtId="0" fontId="153" fillId="18" borderId="0" xfId="1" applyFont="1" applyFill="1" applyBorder="1" applyAlignment="1" applyProtection="1">
      <alignment horizontal="left" vertical="center"/>
      <protection hidden="1"/>
    </xf>
    <xf numFmtId="1" fontId="151" fillId="18" borderId="0" xfId="3" applyNumberFormat="1" applyFont="1" applyFill="1" applyBorder="1" applyAlignment="1">
      <alignment horizontal="center" vertical="center"/>
    </xf>
    <xf numFmtId="0" fontId="138" fillId="18" borderId="6" xfId="2" applyFont="1" applyFill="1" applyBorder="1" applyAlignment="1">
      <alignment vertical="center"/>
    </xf>
    <xf numFmtId="0" fontId="138" fillId="18" borderId="0" xfId="2" applyFont="1" applyFill="1" applyBorder="1" applyAlignment="1">
      <alignment vertical="center"/>
    </xf>
    <xf numFmtId="0" fontId="138" fillId="18" borderId="0" xfId="2" applyFont="1" applyFill="1" applyBorder="1" applyAlignment="1">
      <alignment horizontal="right" vertical="center"/>
    </xf>
    <xf numFmtId="0" fontId="1" fillId="18" borderId="0" xfId="2" applyFill="1" applyBorder="1" applyAlignment="1">
      <alignment horizontal="left"/>
    </xf>
    <xf numFmtId="0" fontId="1" fillId="18" borderId="4" xfId="2" applyFill="1" applyBorder="1"/>
    <xf numFmtId="0" fontId="154" fillId="18" borderId="6" xfId="1" applyFont="1" applyFill="1" applyBorder="1" applyAlignment="1">
      <alignment horizontal="center" vertical="center"/>
    </xf>
    <xf numFmtId="0" fontId="13" fillId="4" borderId="0" xfId="2" applyFont="1" applyFill="1" applyBorder="1"/>
    <xf numFmtId="0" fontId="19" fillId="4" borderId="0" xfId="4" applyFill="1" applyAlignment="1">
      <alignment vertical="center"/>
    </xf>
    <xf numFmtId="0" fontId="13" fillId="19" borderId="60" xfId="4" applyFont="1" applyFill="1" applyBorder="1" applyAlignment="1" applyProtection="1">
      <alignment horizontal="centerContinuous" vertical="center"/>
      <protection locked="0"/>
    </xf>
    <xf numFmtId="0" fontId="13" fillId="19" borderId="61" xfId="4" applyFont="1" applyFill="1" applyBorder="1" applyAlignment="1" applyProtection="1">
      <alignment horizontal="centerContinuous" vertical="center"/>
      <protection locked="0"/>
    </xf>
    <xf numFmtId="0" fontId="13" fillId="19" borderId="62" xfId="4" applyFont="1" applyFill="1" applyBorder="1" applyAlignment="1" applyProtection="1">
      <alignment horizontal="right" vertical="center"/>
      <protection locked="0"/>
    </xf>
    <xf numFmtId="0" fontId="97" fillId="4" borderId="6" xfId="2" applyFont="1" applyFill="1" applyBorder="1" applyAlignment="1" applyProtection="1">
      <alignment horizontal="left" vertical="center"/>
      <protection locked="0"/>
    </xf>
    <xf numFmtId="0" fontId="97" fillId="4" borderId="0" xfId="2" applyFont="1" applyFill="1" applyBorder="1" applyAlignment="1" applyProtection="1">
      <alignment horizontal="right" vertical="center"/>
      <protection locked="0"/>
    </xf>
    <xf numFmtId="0" fontId="98" fillId="4" borderId="0" xfId="2" applyFont="1" applyFill="1" applyBorder="1" applyAlignment="1" applyProtection="1">
      <alignment horizontal="right" vertical="center"/>
      <protection locked="0"/>
    </xf>
    <xf numFmtId="183" fontId="157" fillId="25" borderId="5" xfId="2" applyNumberFormat="1" applyFont="1" applyFill="1" applyBorder="1" applyAlignment="1" applyProtection="1">
      <alignment horizontal="center" vertical="center"/>
      <protection locked="0"/>
    </xf>
    <xf numFmtId="0" fontId="158" fillId="4" borderId="6" xfId="2" applyFont="1" applyFill="1" applyBorder="1" applyAlignment="1" applyProtection="1">
      <alignment horizontal="left" vertical="center"/>
      <protection locked="0"/>
    </xf>
    <xf numFmtId="0" fontId="158" fillId="4" borderId="0" xfId="2" applyFont="1" applyFill="1" applyBorder="1" applyAlignment="1" applyProtection="1">
      <alignment horizontal="right" vertical="center"/>
      <protection locked="0"/>
    </xf>
    <xf numFmtId="183" fontId="100" fillId="25" borderId="5" xfId="2" applyNumberFormat="1" applyFont="1" applyFill="1" applyBorder="1" applyAlignment="1" applyProtection="1">
      <alignment horizontal="center" vertical="center"/>
      <protection locked="0"/>
    </xf>
    <xf numFmtId="0" fontId="44" fillId="4" borderId="6" xfId="2" applyFont="1" applyFill="1" applyBorder="1" applyAlignment="1" applyProtection="1">
      <alignment horizontal="left" vertical="center"/>
      <protection locked="0"/>
    </xf>
    <xf numFmtId="0" fontId="44" fillId="4" borderId="0" xfId="2" applyFont="1" applyFill="1" applyBorder="1" applyAlignment="1" applyProtection="1">
      <alignment horizontal="right" vertical="center"/>
      <protection locked="0"/>
    </xf>
    <xf numFmtId="0" fontId="4" fillId="4" borderId="0" xfId="2" applyFont="1" applyFill="1" applyBorder="1" applyAlignment="1" applyProtection="1">
      <alignment horizontal="right" vertical="center"/>
      <protection locked="0"/>
    </xf>
    <xf numFmtId="183" fontId="82" fillId="4" borderId="5" xfId="2" applyNumberFormat="1" applyFont="1" applyFill="1" applyBorder="1" applyAlignment="1" applyProtection="1">
      <alignment horizontal="center" vertical="center"/>
      <protection locked="0"/>
    </xf>
    <xf numFmtId="0" fontId="82" fillId="4" borderId="0" xfId="2" applyFont="1" applyFill="1" applyBorder="1" applyAlignment="1" applyProtection="1">
      <alignment horizontal="right" vertical="center"/>
      <protection locked="0"/>
    </xf>
    <xf numFmtId="184" fontId="82" fillId="4" borderId="5" xfId="2" applyNumberFormat="1" applyFont="1" applyFill="1" applyBorder="1" applyAlignment="1" applyProtection="1">
      <alignment horizontal="center" vertical="center"/>
      <protection locked="0"/>
    </xf>
    <xf numFmtId="0" fontId="4" fillId="22" borderId="63" xfId="2" applyFont="1" applyFill="1" applyBorder="1" applyAlignment="1" applyProtection="1">
      <alignment horizontal="left" vertical="center"/>
      <protection locked="0"/>
    </xf>
    <xf numFmtId="184" fontId="82" fillId="22" borderId="64" xfId="2" applyNumberFormat="1" applyFont="1" applyFill="1" applyBorder="1" applyAlignment="1" applyProtection="1">
      <alignment horizontal="center" vertical="center"/>
      <protection locked="0"/>
    </xf>
    <xf numFmtId="0" fontId="98" fillId="4" borderId="6" xfId="2" applyFont="1" applyFill="1" applyBorder="1" applyAlignment="1" applyProtection="1">
      <alignment horizontal="left" vertical="center"/>
      <protection locked="0"/>
    </xf>
    <xf numFmtId="0" fontId="158" fillId="4" borderId="0" xfId="2" applyFont="1" applyFill="1" applyBorder="1" applyAlignment="1" applyProtection="1">
      <alignment horizontal="right" vertical="center" wrapText="1"/>
      <protection locked="0"/>
    </xf>
    <xf numFmtId="0" fontId="82" fillId="4" borderId="4" xfId="2" applyFont="1" applyFill="1" applyBorder="1" applyAlignment="1" applyProtection="1">
      <alignment horizontal="right" vertical="center"/>
      <protection locked="0"/>
    </xf>
    <xf numFmtId="0" fontId="4" fillId="4" borderId="4" xfId="2" applyFont="1" applyFill="1" applyBorder="1" applyAlignment="1" applyProtection="1">
      <alignment horizontal="right" vertical="center"/>
      <protection locked="0"/>
    </xf>
    <xf numFmtId="0" fontId="52" fillId="4" borderId="0" xfId="2" applyFont="1" applyFill="1" applyAlignment="1">
      <alignment vertical="center"/>
    </xf>
    <xf numFmtId="0" fontId="160" fillId="4" borderId="0" xfId="2" applyFont="1" applyFill="1" applyAlignment="1">
      <alignment horizontal="left" vertical="center"/>
    </xf>
    <xf numFmtId="0" fontId="160" fillId="4" borderId="0" xfId="2" applyFont="1" applyFill="1" applyAlignment="1">
      <alignment horizontal="right" vertical="center"/>
    </xf>
    <xf numFmtId="0" fontId="161" fillId="4" borderId="0" xfId="2" applyFont="1" applyFill="1" applyAlignment="1">
      <alignment vertical="center"/>
    </xf>
    <xf numFmtId="0" fontId="66" fillId="4" borderId="0" xfId="2" applyFont="1" applyFill="1" applyAlignment="1">
      <alignment vertical="center"/>
    </xf>
    <xf numFmtId="0" fontId="134" fillId="37" borderId="0" xfId="0" applyFont="1" applyFill="1" applyAlignment="1">
      <alignment horizontal="centerContinuous" vertical="center"/>
    </xf>
    <xf numFmtId="0" fontId="0" fillId="37" borderId="0" xfId="0" applyFill="1" applyAlignment="1">
      <alignment horizontal="centerContinuous" vertical="center"/>
    </xf>
    <xf numFmtId="0" fontId="39" fillId="37" borderId="0" xfId="0" applyFont="1" applyFill="1" applyAlignment="1">
      <alignment horizontal="centerContinuous" vertical="center"/>
    </xf>
    <xf numFmtId="0" fontId="13" fillId="37" borderId="0" xfId="0" applyFont="1" applyFill="1" applyAlignment="1">
      <alignment horizontal="left" vertical="center"/>
    </xf>
    <xf numFmtId="0" fontId="0" fillId="37" borderId="0" xfId="0" applyFill="1" applyBorder="1" applyAlignment="1">
      <alignment horizontal="centerContinuous" vertical="center"/>
    </xf>
    <xf numFmtId="0" fontId="51" fillId="37" borderId="0" xfId="0" applyFont="1" applyFill="1" applyAlignment="1">
      <alignment horizontal="left" vertical="center"/>
    </xf>
    <xf numFmtId="0" fontId="51" fillId="51" borderId="0" xfId="15" applyFont="1" applyFill="1" applyBorder="1" applyAlignment="1">
      <alignment vertical="top"/>
    </xf>
    <xf numFmtId="0" fontId="0" fillId="51" borderId="0" xfId="0" applyFill="1"/>
    <xf numFmtId="0" fontId="39" fillId="51" borderId="0" xfId="0" applyFont="1" applyFill="1" applyAlignment="1">
      <alignment horizontal="left" vertical="center"/>
    </xf>
    <xf numFmtId="0" fontId="51" fillId="51" borderId="0" xfId="15" applyFont="1" applyFill="1" applyBorder="1" applyAlignment="1">
      <alignment horizontal="right" vertical="top"/>
    </xf>
    <xf numFmtId="0" fontId="163" fillId="52" borderId="0" xfId="16" applyFont="1" applyFill="1" applyAlignment="1">
      <alignment horizontal="right" vertical="center"/>
    </xf>
    <xf numFmtId="0" fontId="164" fillId="52" borderId="0" xfId="16" applyFont="1" applyFill="1" applyAlignment="1">
      <alignment horizontal="left" vertical="center" wrapText="1"/>
    </xf>
    <xf numFmtId="0" fontId="5" fillId="53" borderId="0" xfId="15" applyFont="1" applyFill="1" applyBorder="1" applyAlignment="1">
      <alignment vertical="center" wrapText="1"/>
    </xf>
    <xf numFmtId="0" fontId="5" fillId="53" borderId="0" xfId="15" applyFont="1" applyFill="1" applyBorder="1" applyAlignment="1">
      <alignment vertical="center"/>
    </xf>
    <xf numFmtId="0" fontId="1" fillId="18" borderId="0" xfId="2" applyFill="1"/>
    <xf numFmtId="0" fontId="4" fillId="18" borderId="0" xfId="1" applyFill="1" applyProtection="1">
      <protection hidden="1"/>
    </xf>
    <xf numFmtId="166" fontId="32" fillId="55" borderId="10" xfId="1" applyNumberFormat="1" applyFont="1" applyFill="1" applyBorder="1" applyAlignment="1">
      <alignment horizontal="center" vertical="center"/>
    </xf>
    <xf numFmtId="0" fontId="167" fillId="4" borderId="0" xfId="2" applyFont="1" applyFill="1" applyBorder="1" applyAlignment="1">
      <alignment horizontal="left" vertical="center"/>
    </xf>
    <xf numFmtId="166" fontId="30" fillId="16" borderId="0" xfId="1" applyNumberFormat="1" applyFont="1" applyFill="1" applyBorder="1" applyAlignment="1">
      <alignment horizontal="center" vertical="center"/>
    </xf>
    <xf numFmtId="168" fontId="30" fillId="16" borderId="0" xfId="1" applyNumberFormat="1" applyFont="1" applyFill="1" applyBorder="1" applyAlignment="1">
      <alignment horizontal="center" vertical="center"/>
    </xf>
    <xf numFmtId="0" fontId="37" fillId="4" borderId="28" xfId="2" applyFont="1" applyFill="1" applyBorder="1" applyAlignment="1">
      <alignment horizontal="left" vertical="center"/>
    </xf>
    <xf numFmtId="166" fontId="38" fillId="4" borderId="0" xfId="3" applyNumberFormat="1" applyFont="1" applyFill="1" applyBorder="1" applyAlignment="1">
      <alignment horizontal="center" vertical="center"/>
    </xf>
    <xf numFmtId="0" fontId="169" fillId="4" borderId="0" xfId="2" applyFont="1" applyFill="1" applyBorder="1" applyAlignment="1">
      <alignment horizontal="left" vertical="center"/>
    </xf>
    <xf numFmtId="0" fontId="171" fillId="4" borderId="0" xfId="2" applyFont="1" applyFill="1" applyBorder="1" applyAlignment="1">
      <alignment horizontal="left" vertical="center"/>
    </xf>
    <xf numFmtId="0" fontId="5" fillId="4" borderId="29" xfId="1" applyFont="1" applyFill="1" applyBorder="1" applyAlignment="1" applyProtection="1">
      <alignment horizontal="right" vertical="center"/>
      <protection hidden="1"/>
    </xf>
    <xf numFmtId="0" fontId="174" fillId="0" borderId="0" xfId="8" applyFont="1"/>
    <xf numFmtId="0" fontId="175" fillId="2" borderId="13" xfId="0" applyFont="1" applyFill="1" applyBorder="1" applyAlignment="1">
      <alignment horizontal="left" vertical="center" wrapText="1"/>
    </xf>
    <xf numFmtId="0" fontId="178" fillId="2" borderId="11" xfId="0" applyFont="1" applyFill="1" applyBorder="1" applyAlignment="1">
      <alignment horizontal="left" vertical="center"/>
    </xf>
    <xf numFmtId="0" fontId="10" fillId="2" borderId="11" xfId="0" applyFont="1" applyFill="1" applyBorder="1" applyAlignment="1">
      <alignment vertical="center"/>
    </xf>
    <xf numFmtId="0" fontId="178" fillId="2" borderId="0" xfId="0" applyFont="1" applyFill="1" applyBorder="1" applyAlignment="1">
      <alignment vertical="center"/>
    </xf>
    <xf numFmtId="0" fontId="165" fillId="28" borderId="0" xfId="1" applyFont="1" applyFill="1" applyBorder="1" applyAlignment="1">
      <alignment horizontal="right" vertical="center"/>
    </xf>
    <xf numFmtId="0" fontId="0" fillId="0" borderId="0" xfId="0" applyBorder="1"/>
    <xf numFmtId="0" fontId="0" fillId="0" borderId="5" xfId="0" applyBorder="1"/>
    <xf numFmtId="2" fontId="17" fillId="16" borderId="0" xfId="1" applyNumberFormat="1" applyFont="1" applyFill="1" applyBorder="1" applyAlignment="1">
      <alignment horizontal="left" vertical="center"/>
    </xf>
    <xf numFmtId="0" fontId="93" fillId="0" borderId="0" xfId="0" applyFont="1" applyBorder="1"/>
    <xf numFmtId="0" fontId="183" fillId="56" borderId="0" xfId="1" applyFont="1" applyFill="1"/>
    <xf numFmtId="0" fontId="4" fillId="56" borderId="0" xfId="1" applyFont="1" applyFill="1"/>
    <xf numFmtId="0" fontId="4" fillId="0" borderId="0" xfId="1" applyFont="1"/>
    <xf numFmtId="0" fontId="183" fillId="0" borderId="0" xfId="1" applyFont="1" applyAlignment="1">
      <alignment vertical="center"/>
    </xf>
    <xf numFmtId="1" fontId="51" fillId="4" borderId="73" xfId="4" applyNumberFormat="1" applyFont="1" applyFill="1" applyBorder="1" applyAlignment="1">
      <alignment horizontal="center" vertical="center"/>
    </xf>
    <xf numFmtId="0" fontId="96" fillId="59" borderId="0" xfId="1" applyFont="1" applyFill="1" applyAlignment="1">
      <alignment vertical="center"/>
    </xf>
    <xf numFmtId="2" fontId="4" fillId="0" borderId="0" xfId="1" applyNumberFormat="1" applyFont="1" applyAlignment="1">
      <alignment horizontal="center"/>
    </xf>
    <xf numFmtId="0" fontId="94" fillId="0" borderId="75" xfId="1" applyFont="1" applyBorder="1" applyAlignment="1">
      <alignment horizontal="right" vertical="center" wrapText="1"/>
    </xf>
    <xf numFmtId="1" fontId="82" fillId="4" borderId="77" xfId="4" applyNumberFormat="1" applyFont="1" applyFill="1" applyBorder="1" applyAlignment="1">
      <alignment horizontal="center" vertical="center" wrapText="1"/>
    </xf>
    <xf numFmtId="2" fontId="4" fillId="0" borderId="0" xfId="1" applyNumberFormat="1" applyFont="1" applyAlignment="1">
      <alignment horizontal="center" vertical="center"/>
    </xf>
    <xf numFmtId="0" fontId="94" fillId="0" borderId="68" xfId="4" applyNumberFormat="1" applyFont="1" applyFill="1" applyBorder="1" applyAlignment="1">
      <alignment horizontal="center"/>
    </xf>
    <xf numFmtId="0" fontId="158" fillId="0" borderId="69" xfId="4" applyNumberFormat="1" applyFont="1" applyFill="1" applyBorder="1" applyAlignment="1">
      <alignment horizontal="center" vertical="center"/>
    </xf>
    <xf numFmtId="0" fontId="95" fillId="0" borderId="69" xfId="4" applyNumberFormat="1" applyFont="1" applyFill="1" applyBorder="1" applyAlignment="1">
      <alignment horizontal="center" vertical="center" wrapText="1"/>
    </xf>
    <xf numFmtId="0" fontId="186" fillId="0" borderId="68" xfId="4" applyNumberFormat="1" applyFont="1" applyFill="1" applyBorder="1" applyAlignment="1">
      <alignment horizontal="right" vertical="center"/>
    </xf>
    <xf numFmtId="0" fontId="187" fillId="57" borderId="69" xfId="4" applyNumberFormat="1" applyFont="1" applyFill="1" applyBorder="1" applyAlignment="1">
      <alignment horizontal="center" vertical="center"/>
    </xf>
    <xf numFmtId="0" fontId="0" fillId="0" borderId="0" xfId="4" applyNumberFormat="1" applyFont="1" applyFill="1" applyBorder="1" applyAlignment="1">
      <alignment horizontal="center" vertical="center"/>
    </xf>
    <xf numFmtId="0" fontId="4" fillId="59" borderId="78" xfId="1" applyFont="1" applyFill="1" applyBorder="1" applyAlignment="1">
      <alignment vertical="center"/>
    </xf>
    <xf numFmtId="0" fontId="20" fillId="61" borderId="81" xfId="1" applyFont="1" applyFill="1" applyBorder="1" applyAlignment="1">
      <alignment horizontal="center" vertical="center" wrapText="1"/>
    </xf>
    <xf numFmtId="0" fontId="94" fillId="0" borderId="82" xfId="1" applyFont="1" applyBorder="1" applyAlignment="1">
      <alignment horizontal="center" vertical="center"/>
    </xf>
    <xf numFmtId="0" fontId="95" fillId="0" borderId="82" xfId="4" applyNumberFormat="1" applyFont="1" applyFill="1" applyBorder="1" applyAlignment="1">
      <alignment horizontal="center" vertical="center" wrapText="1"/>
    </xf>
    <xf numFmtId="0" fontId="82" fillId="56" borderId="82" xfId="4" applyNumberFormat="1" applyFont="1" applyFill="1" applyBorder="1" applyAlignment="1">
      <alignment horizontal="right" vertical="center"/>
    </xf>
    <xf numFmtId="0" fontId="187" fillId="57" borderId="82" xfId="4" applyNumberFormat="1" applyFont="1" applyFill="1" applyBorder="1" applyAlignment="1">
      <alignment horizontal="left" vertical="center"/>
    </xf>
    <xf numFmtId="0" fontId="82" fillId="0" borderId="82" xfId="4" applyNumberFormat="1" applyFont="1" applyFill="1" applyBorder="1" applyAlignment="1">
      <alignment horizontal="center" vertical="center" wrapText="1"/>
    </xf>
    <xf numFmtId="0" fontId="191" fillId="0" borderId="82" xfId="4" applyNumberFormat="1" applyFont="1" applyFill="1" applyBorder="1" applyAlignment="1">
      <alignment horizontal="center" vertical="center" wrapText="1"/>
    </xf>
    <xf numFmtId="0" fontId="0" fillId="0" borderId="84" xfId="4" applyFont="1" applyFill="1" applyBorder="1" applyAlignment="1">
      <alignment horizontal="center" vertical="center" wrapText="1"/>
    </xf>
    <xf numFmtId="0" fontId="192" fillId="0" borderId="0" xfId="4" applyFont="1" applyFill="1" applyBorder="1" applyAlignment="1">
      <alignment horizontal="center" vertical="center"/>
    </xf>
    <xf numFmtId="0" fontId="0" fillId="0" borderId="0" xfId="4" applyFont="1" applyFill="1" applyBorder="1" applyAlignment="1">
      <alignment horizontal="center" vertical="center"/>
    </xf>
    <xf numFmtId="0" fontId="115" fillId="0" borderId="0" xfId="4" applyFont="1" applyFill="1" applyBorder="1" applyAlignment="1">
      <alignment horizontal="center" vertical="center" wrapText="1"/>
    </xf>
    <xf numFmtId="0" fontId="0" fillId="0" borderId="0" xfId="4" applyFont="1" applyFill="1" applyBorder="1" applyAlignment="1">
      <alignment horizontal="center" vertical="center" wrapText="1"/>
    </xf>
    <xf numFmtId="14" fontId="0" fillId="0" borderId="0" xfId="4" applyNumberFormat="1" applyFont="1" applyFill="1" applyBorder="1" applyAlignment="1">
      <alignment horizontal="center" vertical="center"/>
    </xf>
    <xf numFmtId="0" fontId="0" fillId="0" borderId="85" xfId="4" applyFont="1" applyFill="1" applyBorder="1" applyAlignment="1">
      <alignment horizontal="center" vertical="center" wrapText="1"/>
    </xf>
    <xf numFmtId="167" fontId="29" fillId="0" borderId="86" xfId="1" applyNumberFormat="1" applyFont="1" applyFill="1" applyBorder="1" applyAlignment="1" applyProtection="1">
      <alignment horizontal="center" vertical="center"/>
    </xf>
    <xf numFmtId="167" fontId="4" fillId="0" borderId="87" xfId="1" applyNumberFormat="1" applyFont="1" applyFill="1" applyBorder="1" applyAlignment="1" applyProtection="1">
      <alignment horizontal="center" vertical="center"/>
    </xf>
    <xf numFmtId="167" fontId="94" fillId="0" borderId="88" xfId="1" applyNumberFormat="1" applyFont="1" applyFill="1" applyBorder="1" applyAlignment="1" applyProtection="1">
      <alignment horizontal="center" vertical="center"/>
    </xf>
    <xf numFmtId="0" fontId="94" fillId="0" borderId="89" xfId="1" applyFont="1" applyBorder="1" applyAlignment="1">
      <alignment horizontal="center" vertical="center"/>
    </xf>
    <xf numFmtId="184" fontId="4" fillId="0" borderId="90" xfId="1" applyNumberFormat="1" applyFont="1" applyFill="1" applyBorder="1" applyAlignment="1" applyProtection="1">
      <alignment horizontal="center" vertical="center"/>
      <protection locked="0"/>
    </xf>
    <xf numFmtId="167" fontId="195" fillId="0" borderId="88" xfId="1" applyNumberFormat="1" applyFont="1" applyFill="1" applyBorder="1" applyAlignment="1" applyProtection="1">
      <alignment horizontal="center" vertical="center"/>
    </xf>
    <xf numFmtId="167" fontId="4" fillId="0" borderId="91" xfId="1" applyNumberFormat="1" applyFont="1" applyFill="1" applyBorder="1" applyAlignment="1" applyProtection="1">
      <alignment horizontal="center" vertical="center"/>
    </xf>
    <xf numFmtId="1" fontId="183" fillId="0" borderId="0" xfId="1" applyNumberFormat="1" applyFont="1" applyFill="1" applyBorder="1" applyAlignment="1" applyProtection="1">
      <alignment horizontal="center" vertical="center"/>
    </xf>
    <xf numFmtId="169" fontId="4" fillId="0" borderId="92" xfId="1" applyNumberFormat="1" applyFont="1" applyFill="1" applyBorder="1" applyAlignment="1" applyProtection="1">
      <alignment horizontal="center" vertical="center"/>
    </xf>
    <xf numFmtId="187" fontId="4" fillId="0" borderId="92" xfId="1" applyNumberFormat="1" applyFont="1" applyBorder="1" applyAlignment="1">
      <alignment vertical="center"/>
    </xf>
    <xf numFmtId="187" fontId="4" fillId="0" borderId="93" xfId="1" applyNumberFormat="1" applyFont="1" applyBorder="1" applyAlignment="1">
      <alignment vertical="center"/>
    </xf>
    <xf numFmtId="0" fontId="157" fillId="0" borderId="75" xfId="4" applyNumberFormat="1" applyFont="1" applyFill="1" applyBorder="1" applyAlignment="1">
      <alignment horizontal="center" vertical="center"/>
    </xf>
    <xf numFmtId="0" fontId="13" fillId="0" borderId="0" xfId="1" applyFont="1" applyAlignment="1">
      <alignment horizontal="center" vertical="center"/>
    </xf>
    <xf numFmtId="165" fontId="94" fillId="0" borderId="94" xfId="4" applyNumberFormat="1" applyFont="1" applyFill="1" applyBorder="1" applyAlignment="1">
      <alignment horizontal="center" vertical="center"/>
    </xf>
    <xf numFmtId="0" fontId="197" fillId="57" borderId="0" xfId="1" applyFont="1" applyFill="1" applyBorder="1" applyAlignment="1">
      <alignment horizontal="right" vertical="center"/>
    </xf>
    <xf numFmtId="167" fontId="197" fillId="57" borderId="0" xfId="4" applyNumberFormat="1" applyFont="1" applyFill="1" applyBorder="1" applyAlignment="1">
      <alignment horizontal="center" vertical="center"/>
    </xf>
    <xf numFmtId="0" fontId="197" fillId="57" borderId="0" xfId="1" applyFont="1" applyFill="1" applyBorder="1" applyAlignment="1">
      <alignment horizontal="center" vertical="center"/>
    </xf>
    <xf numFmtId="175" fontId="97" fillId="57" borderId="0" xfId="1" applyNumberFormat="1" applyFont="1" applyFill="1" applyBorder="1" applyAlignment="1" applyProtection="1">
      <alignment horizontal="center" vertical="center"/>
      <protection locked="0"/>
    </xf>
    <xf numFmtId="167" fontId="113" fillId="0" borderId="0" xfId="4" applyNumberFormat="1" applyFont="1" applyFill="1" applyBorder="1" applyAlignment="1">
      <alignment horizontal="center" vertical="center"/>
    </xf>
    <xf numFmtId="167" fontId="82" fillId="0" borderId="95" xfId="1" applyNumberFormat="1" applyFont="1" applyFill="1" applyBorder="1" applyAlignment="1" applyProtection="1">
      <alignment horizontal="center" vertical="center"/>
    </xf>
    <xf numFmtId="2" fontId="13" fillId="0" borderId="96" xfId="1" applyNumberFormat="1" applyFont="1" applyFill="1" applyBorder="1" applyAlignment="1">
      <alignment horizontal="right" vertical="center"/>
    </xf>
    <xf numFmtId="1" fontId="198" fillId="0" borderId="0" xfId="1" applyNumberFormat="1" applyFont="1" applyFill="1" applyBorder="1" applyAlignment="1">
      <alignment horizontal="center" vertical="center"/>
    </xf>
    <xf numFmtId="0" fontId="4" fillId="59" borderId="97" xfId="1" applyFont="1" applyFill="1" applyBorder="1" applyAlignment="1">
      <alignment vertical="center"/>
    </xf>
    <xf numFmtId="169" fontId="199" fillId="0" borderId="0" xfId="4" applyNumberFormat="1" applyFont="1" applyFill="1" applyBorder="1" applyAlignment="1">
      <alignment horizontal="right" vertical="center"/>
    </xf>
    <xf numFmtId="187" fontId="200" fillId="57" borderId="0" xfId="1" applyNumberFormat="1" applyFont="1" applyFill="1" applyBorder="1" applyAlignment="1">
      <alignment vertical="center"/>
    </xf>
    <xf numFmtId="187" fontId="91" fillId="0" borderId="85" xfId="1" applyNumberFormat="1" applyFont="1" applyFill="1" applyBorder="1" applyAlignment="1">
      <alignment vertical="center"/>
    </xf>
    <xf numFmtId="0" fontId="73" fillId="0" borderId="98" xfId="4" applyNumberFormat="1" applyFont="1" applyFill="1" applyBorder="1" applyAlignment="1">
      <alignment horizontal="center" vertical="center"/>
    </xf>
    <xf numFmtId="49" fontId="44" fillId="0" borderId="0" xfId="4" applyNumberFormat="1" applyFont="1" applyFill="1" applyBorder="1" applyAlignment="1">
      <alignment horizontal="left" vertical="center"/>
    </xf>
    <xf numFmtId="49" fontId="44" fillId="0" borderId="85" xfId="4" applyNumberFormat="1" applyFont="1" applyFill="1" applyBorder="1" applyAlignment="1">
      <alignment horizontal="left" vertical="center"/>
    </xf>
    <xf numFmtId="1" fontId="198" fillId="0" borderId="95" xfId="1" applyNumberFormat="1" applyFont="1" applyFill="1" applyBorder="1" applyAlignment="1">
      <alignment horizontal="center" vertical="center"/>
    </xf>
    <xf numFmtId="0" fontId="4" fillId="63" borderId="0" xfId="1" applyFont="1" applyFill="1" applyBorder="1" applyAlignment="1">
      <alignment vertical="center"/>
    </xf>
    <xf numFmtId="169" fontId="199" fillId="0" borderId="99" xfId="4" applyNumberFormat="1" applyFont="1" applyFill="1" applyBorder="1" applyAlignment="1">
      <alignment horizontal="right" vertical="center"/>
    </xf>
    <xf numFmtId="0" fontId="73" fillId="0" borderId="75" xfId="4" applyNumberFormat="1" applyFont="1" applyFill="1" applyBorder="1" applyAlignment="1">
      <alignment horizontal="center" vertical="center"/>
    </xf>
    <xf numFmtId="0" fontId="4" fillId="64" borderId="0" xfId="1" applyFont="1" applyFill="1"/>
    <xf numFmtId="0" fontId="94" fillId="65" borderId="0" xfId="1" applyFont="1" applyFill="1" applyAlignment="1">
      <alignment horizontal="left"/>
    </xf>
    <xf numFmtId="49" fontId="44" fillId="0" borderId="80" xfId="4" applyNumberFormat="1" applyFont="1" applyFill="1" applyBorder="1" applyAlignment="1">
      <alignment horizontal="left" vertical="center"/>
    </xf>
    <xf numFmtId="49" fontId="44" fillId="0" borderId="77" xfId="4" applyNumberFormat="1" applyFont="1" applyFill="1" applyBorder="1" applyAlignment="1">
      <alignment horizontal="left" vertical="center"/>
    </xf>
    <xf numFmtId="165" fontId="94" fillId="59" borderId="100" xfId="4" applyNumberFormat="1" applyFont="1" applyFill="1" applyBorder="1" applyAlignment="1">
      <alignment horizontal="center" vertical="center"/>
    </xf>
    <xf numFmtId="165" fontId="201" fillId="59" borderId="70" xfId="4" applyNumberFormat="1" applyFont="1" applyFill="1" applyBorder="1" applyAlignment="1">
      <alignment horizontal="center" vertical="center"/>
    </xf>
    <xf numFmtId="0" fontId="191" fillId="59" borderId="70" xfId="4" applyNumberFormat="1" applyFont="1" applyFill="1" applyBorder="1" applyAlignment="1">
      <alignment horizontal="center" vertical="center"/>
    </xf>
    <xf numFmtId="0" fontId="191" fillId="59" borderId="70" xfId="1" applyFont="1" applyFill="1" applyBorder="1" applyAlignment="1">
      <alignment horizontal="center" vertical="center"/>
    </xf>
    <xf numFmtId="175" fontId="202" fillId="59" borderId="70" xfId="1" applyNumberFormat="1" applyFont="1" applyFill="1" applyBorder="1" applyAlignment="1" applyProtection="1">
      <alignment horizontal="center" vertical="center"/>
      <protection locked="0"/>
    </xf>
    <xf numFmtId="167" fontId="100" fillId="59" borderId="70" xfId="4" applyNumberFormat="1" applyFont="1" applyFill="1" applyBorder="1" applyAlignment="1">
      <alignment horizontal="center" vertical="center"/>
    </xf>
    <xf numFmtId="167" fontId="100" fillId="59" borderId="70" xfId="1" applyNumberFormat="1" applyFont="1" applyFill="1" applyBorder="1" applyAlignment="1" applyProtection="1">
      <alignment horizontal="center" vertical="center"/>
    </xf>
    <xf numFmtId="2" fontId="46" fillId="59" borderId="70" xfId="1" applyNumberFormat="1" applyFont="1" applyFill="1" applyBorder="1" applyAlignment="1">
      <alignment horizontal="center" vertical="center"/>
    </xf>
    <xf numFmtId="2" fontId="203" fillId="59" borderId="70" xfId="1" applyNumberFormat="1" applyFont="1" applyFill="1" applyBorder="1" applyAlignment="1">
      <alignment horizontal="center" vertical="center"/>
    </xf>
    <xf numFmtId="0" fontId="191" fillId="59" borderId="70" xfId="1" applyFont="1" applyFill="1" applyBorder="1" applyAlignment="1">
      <alignment vertical="center"/>
    </xf>
    <xf numFmtId="169" fontId="204" fillId="59" borderId="70" xfId="4" applyNumberFormat="1" applyFont="1" applyFill="1" applyBorder="1" applyAlignment="1">
      <alignment horizontal="center" vertical="center"/>
    </xf>
    <xf numFmtId="187" fontId="201" fillId="59" borderId="70" xfId="1" applyNumberFormat="1" applyFont="1" applyFill="1" applyBorder="1" applyAlignment="1">
      <alignment vertical="center"/>
    </xf>
    <xf numFmtId="187" fontId="191" fillId="59" borderId="71" xfId="1" applyNumberFormat="1" applyFont="1" applyFill="1" applyBorder="1" applyAlignment="1">
      <alignment vertical="center"/>
    </xf>
    <xf numFmtId="187" fontId="202" fillId="59" borderId="70" xfId="1" applyNumberFormat="1" applyFont="1" applyFill="1" applyBorder="1" applyAlignment="1">
      <alignment vertical="center"/>
    </xf>
    <xf numFmtId="0" fontId="184" fillId="59" borderId="101" xfId="4" applyNumberFormat="1" applyFont="1" applyFill="1" applyBorder="1" applyAlignment="1">
      <alignment vertical="center"/>
    </xf>
    <xf numFmtId="0" fontId="112" fillId="59" borderId="0" xfId="1" applyFont="1" applyFill="1" applyAlignment="1">
      <alignment horizontal="center" vertical="center"/>
    </xf>
    <xf numFmtId="0" fontId="201" fillId="65" borderId="0" xfId="1" applyFont="1" applyFill="1" applyAlignment="1">
      <alignment horizontal="left"/>
    </xf>
    <xf numFmtId="0" fontId="4" fillId="65" borderId="0" xfId="1" applyFont="1" applyFill="1"/>
    <xf numFmtId="0" fontId="4" fillId="65" borderId="0" xfId="1" applyFont="1" applyFill="1" applyAlignment="1">
      <alignment vertical="center"/>
    </xf>
    <xf numFmtId="0" fontId="157" fillId="0" borderId="76" xfId="4" applyNumberFormat="1" applyFont="1" applyFill="1" applyBorder="1" applyAlignment="1">
      <alignment horizontal="center" vertical="center"/>
    </xf>
    <xf numFmtId="165" fontId="201" fillId="0" borderId="0" xfId="4" applyNumberFormat="1" applyFont="1" applyFill="1" applyBorder="1" applyAlignment="1">
      <alignment horizontal="center" vertical="center"/>
    </xf>
    <xf numFmtId="0" fontId="157" fillId="0" borderId="0" xfId="1" applyFont="1" applyFill="1" applyBorder="1" applyAlignment="1">
      <alignment horizontal="right" vertical="center"/>
    </xf>
    <xf numFmtId="0" fontId="192" fillId="0" borderId="99" xfId="1" applyNumberFormat="1" applyFont="1" applyFill="1" applyBorder="1" applyAlignment="1">
      <alignment horizontal="center" vertical="center"/>
    </xf>
    <xf numFmtId="2" fontId="203" fillId="0" borderId="0" xfId="1" applyNumberFormat="1" applyFont="1" applyFill="1" applyBorder="1" applyAlignment="1">
      <alignment horizontal="center" vertical="center"/>
    </xf>
    <xf numFmtId="0" fontId="94" fillId="0" borderId="0" xfId="1" applyNumberFormat="1" applyFont="1" applyFill="1" applyBorder="1" applyAlignment="1">
      <alignment horizontal="center" vertical="center"/>
    </xf>
    <xf numFmtId="0" fontId="94" fillId="0" borderId="85" xfId="1" applyNumberFormat="1" applyFont="1" applyFill="1" applyBorder="1" applyAlignment="1">
      <alignment horizontal="center" vertical="center"/>
    </xf>
    <xf numFmtId="0" fontId="13" fillId="0" borderId="0" xfId="4" applyFont="1" applyFill="1" applyBorder="1" applyAlignment="1">
      <alignment horizontal="center" vertical="center"/>
    </xf>
    <xf numFmtId="0" fontId="82" fillId="0" borderId="0" xfId="1" applyFont="1" applyBorder="1" applyAlignment="1">
      <alignment horizontal="right" vertical="center"/>
    </xf>
    <xf numFmtId="0" fontId="157" fillId="57" borderId="103" xfId="1" applyFont="1" applyFill="1" applyBorder="1" applyAlignment="1">
      <alignment horizontal="center" vertical="center"/>
    </xf>
    <xf numFmtId="0" fontId="157" fillId="57" borderId="104" xfId="1" applyFont="1" applyFill="1" applyBorder="1" applyAlignment="1">
      <alignment horizontal="center" vertical="center"/>
    </xf>
    <xf numFmtId="0" fontId="200" fillId="56" borderId="0" xfId="1" applyNumberFormat="1" applyFont="1" applyFill="1" applyBorder="1" applyAlignment="1">
      <alignment horizontal="left" vertical="center"/>
    </xf>
    <xf numFmtId="0" fontId="82" fillId="0" borderId="0" xfId="1" applyNumberFormat="1" applyFont="1" applyFill="1" applyBorder="1" applyAlignment="1">
      <alignment horizontal="center" vertical="center"/>
    </xf>
    <xf numFmtId="0" fontId="200" fillId="56" borderId="85" xfId="1" applyNumberFormat="1" applyFont="1" applyFill="1" applyBorder="1" applyAlignment="1">
      <alignment horizontal="left" vertical="center"/>
    </xf>
    <xf numFmtId="0" fontId="98" fillId="0" borderId="0" xfId="4" applyNumberFormat="1" applyFont="1" applyFill="1" applyBorder="1" applyAlignment="1">
      <alignment vertical="center" wrapText="1"/>
    </xf>
    <xf numFmtId="0" fontId="157" fillId="56" borderId="0" xfId="1" applyNumberFormat="1" applyFont="1" applyFill="1" applyBorder="1" applyAlignment="1">
      <alignment horizontal="left" vertical="center"/>
    </xf>
    <xf numFmtId="0" fontId="99" fillId="0" borderId="0" xfId="4" applyNumberFormat="1" applyFont="1" applyFill="1" applyBorder="1" applyAlignment="1">
      <alignment vertical="center" wrapText="1"/>
    </xf>
    <xf numFmtId="0" fontId="205" fillId="0" borderId="105" xfId="1" applyFont="1" applyFill="1" applyBorder="1" applyAlignment="1">
      <alignment horizontal="left" vertical="center" wrapText="1"/>
    </xf>
    <xf numFmtId="0" fontId="82" fillId="0" borderId="106" xfId="1" applyFont="1" applyBorder="1" applyAlignment="1">
      <alignment horizontal="right" vertical="center"/>
    </xf>
    <xf numFmtId="0" fontId="157" fillId="0" borderId="0" xfId="1" applyFont="1" applyBorder="1" applyAlignment="1">
      <alignment horizontal="center" vertical="center"/>
    </xf>
    <xf numFmtId="188" fontId="157" fillId="57" borderId="103" xfId="1" applyNumberFormat="1" applyFont="1" applyFill="1" applyBorder="1" applyAlignment="1">
      <alignment horizontal="center" vertical="center"/>
    </xf>
    <xf numFmtId="188" fontId="157" fillId="57" borderId="104" xfId="1" applyNumberFormat="1" applyFont="1" applyFill="1" applyBorder="1" applyAlignment="1">
      <alignment horizontal="center" vertical="center"/>
    </xf>
    <xf numFmtId="189" fontId="157" fillId="57" borderId="107" xfId="1" applyNumberFormat="1" applyFont="1" applyFill="1" applyBorder="1" applyAlignment="1">
      <alignment horizontal="center" vertical="center"/>
    </xf>
    <xf numFmtId="0" fontId="73" fillId="0" borderId="0" xfId="1" applyFont="1" applyBorder="1" applyAlignment="1">
      <alignment horizontal="right" vertical="center"/>
    </xf>
    <xf numFmtId="0" fontId="5" fillId="0" borderId="0" xfId="1" applyFont="1" applyFill="1" applyBorder="1" applyAlignment="1">
      <alignment horizontal="left" vertical="center"/>
    </xf>
    <xf numFmtId="0" fontId="206" fillId="0" borderId="0" xfId="1" applyFont="1" applyBorder="1" applyAlignment="1">
      <alignment horizontal="center" vertical="center"/>
    </xf>
    <xf numFmtId="0" fontId="99" fillId="0" borderId="108" xfId="4" applyNumberFormat="1" applyFont="1" applyFill="1" applyBorder="1" applyAlignment="1">
      <alignment vertical="center" wrapText="1"/>
    </xf>
    <xf numFmtId="0" fontId="157" fillId="0" borderId="81" xfId="4" applyNumberFormat="1" applyFont="1" applyFill="1" applyBorder="1" applyAlignment="1">
      <alignment horizontal="center" vertical="center"/>
    </xf>
    <xf numFmtId="0" fontId="125" fillId="0" borderId="82" xfId="1" applyFont="1" applyBorder="1" applyAlignment="1">
      <alignment horizontal="right" vertical="center"/>
    </xf>
    <xf numFmtId="188" fontId="157" fillId="57" borderId="109" xfId="1" applyNumberFormat="1" applyFont="1" applyFill="1" applyBorder="1" applyAlignment="1">
      <alignment horizontal="center" vertical="center"/>
    </xf>
    <xf numFmtId="188" fontId="157" fillId="57" borderId="110" xfId="1" applyNumberFormat="1" applyFont="1" applyFill="1" applyBorder="1" applyAlignment="1">
      <alignment horizontal="center" vertical="center"/>
    </xf>
    <xf numFmtId="0" fontId="5" fillId="0" borderId="82" xfId="1" applyFont="1" applyFill="1" applyBorder="1" applyAlignment="1">
      <alignment horizontal="left" vertical="center"/>
    </xf>
    <xf numFmtId="0" fontId="99" fillId="0" borderId="82" xfId="4" applyNumberFormat="1" applyFont="1" applyFill="1" applyBorder="1" applyAlignment="1">
      <alignment vertical="center" wrapText="1"/>
    </xf>
    <xf numFmtId="0" fontId="157" fillId="56" borderId="82" xfId="1" applyNumberFormat="1" applyFont="1" applyFill="1" applyBorder="1" applyAlignment="1">
      <alignment horizontal="left" vertical="center"/>
    </xf>
    <xf numFmtId="2" fontId="207" fillId="67" borderId="111" xfId="1" applyNumberFormat="1" applyFont="1" applyFill="1" applyBorder="1" applyAlignment="1">
      <alignment horizontal="center" vertical="center" wrapText="1"/>
    </xf>
    <xf numFmtId="0" fontId="73" fillId="0" borderId="81" xfId="4" applyNumberFormat="1" applyFont="1" applyFill="1" applyBorder="1" applyAlignment="1">
      <alignment horizontal="center" vertical="center"/>
    </xf>
    <xf numFmtId="0" fontId="163" fillId="68" borderId="112" xfId="17" applyFont="1" applyFill="1" applyBorder="1" applyAlignment="1" applyProtection="1">
      <alignment horizontal="left" vertical="center"/>
    </xf>
    <xf numFmtId="0" fontId="208" fillId="68" borderId="113" xfId="4" applyFont="1" applyFill="1" applyBorder="1" applyAlignment="1">
      <alignment horizontal="left" vertical="center"/>
    </xf>
    <xf numFmtId="0" fontId="163" fillId="68" borderId="113" xfId="4" applyFont="1" applyFill="1" applyBorder="1" applyAlignment="1">
      <alignment horizontal="left" vertical="center"/>
    </xf>
    <xf numFmtId="0" fontId="208" fillId="68" borderId="114" xfId="17" applyFont="1" applyFill="1" applyBorder="1" applyAlignment="1" applyProtection="1">
      <alignment horizontal="right" vertical="center"/>
    </xf>
    <xf numFmtId="0" fontId="4" fillId="0" borderId="0" xfId="1" applyFont="1" applyAlignment="1">
      <alignment horizontal="center" vertical="center"/>
    </xf>
    <xf numFmtId="0" fontId="4" fillId="0" borderId="115" xfId="1" applyFont="1" applyBorder="1" applyAlignment="1">
      <alignment horizontal="center" vertical="center"/>
    </xf>
    <xf numFmtId="0" fontId="44" fillId="0" borderId="0" xfId="1" applyFont="1" applyBorder="1" applyAlignment="1">
      <alignment horizontal="center" vertical="center"/>
    </xf>
    <xf numFmtId="0" fontId="207" fillId="0" borderId="0" xfId="1" applyFont="1" applyBorder="1" applyAlignment="1">
      <alignment horizontal="center" vertical="center" wrapText="1"/>
    </xf>
    <xf numFmtId="0" fontId="207" fillId="0" borderId="0" xfId="1" applyFont="1" applyFill="1" applyBorder="1" applyAlignment="1">
      <alignment horizontal="center" vertical="center" wrapText="1"/>
    </xf>
    <xf numFmtId="0" fontId="4" fillId="0" borderId="0" xfId="1" applyNumberFormat="1" applyFont="1" applyFill="1" applyBorder="1" applyAlignment="1" applyProtection="1">
      <alignment vertical="center"/>
      <protection locked="0"/>
    </xf>
    <xf numFmtId="0" fontId="4" fillId="0" borderId="117" xfId="1" applyFont="1" applyBorder="1" applyAlignment="1">
      <alignment horizontal="center" vertical="center"/>
    </xf>
    <xf numFmtId="0" fontId="157" fillId="0" borderId="104" xfId="1" applyFont="1" applyBorder="1" applyAlignment="1">
      <alignment horizontal="center" vertical="center" wrapText="1"/>
    </xf>
    <xf numFmtId="190" fontId="157" fillId="0" borderId="107" xfId="1" applyNumberFormat="1" applyFont="1" applyFill="1" applyBorder="1" applyAlignment="1">
      <alignment horizontal="center" vertical="center" wrapText="1"/>
    </xf>
    <xf numFmtId="175" fontId="157" fillId="0" borderId="107" xfId="1" applyNumberFormat="1" applyFont="1" applyFill="1" applyBorder="1" applyAlignment="1">
      <alignment horizontal="center" vertical="center" wrapText="1"/>
    </xf>
    <xf numFmtId="191" fontId="157" fillId="0" borderId="107" xfId="1" applyNumberFormat="1" applyFont="1" applyFill="1" applyBorder="1" applyAlignment="1">
      <alignment horizontal="center" vertical="center" wrapText="1"/>
    </xf>
    <xf numFmtId="190" fontId="157" fillId="0" borderId="103" xfId="1" applyNumberFormat="1" applyFont="1" applyFill="1" applyBorder="1" applyAlignment="1">
      <alignment horizontal="center" vertical="center" wrapText="1"/>
    </xf>
    <xf numFmtId="0" fontId="4" fillId="0" borderId="118" xfId="1" applyNumberFormat="1" applyFont="1" applyFill="1" applyBorder="1" applyAlignment="1" applyProtection="1">
      <alignment vertical="center"/>
      <protection locked="0"/>
    </xf>
    <xf numFmtId="0" fontId="183" fillId="0" borderId="0" xfId="1" applyFont="1"/>
    <xf numFmtId="0" fontId="4" fillId="0" borderId="120" xfId="1" applyFont="1" applyBorder="1" applyAlignment="1">
      <alignment horizontal="left" vertical="center"/>
    </xf>
    <xf numFmtId="0" fontId="44" fillId="0" borderId="121" xfId="1" applyFont="1" applyBorder="1" applyAlignment="1">
      <alignment horizontal="right" vertical="center"/>
    </xf>
    <xf numFmtId="0" fontId="0" fillId="63" borderId="123" xfId="4" applyNumberFormat="1" applyFont="1" applyFill="1" applyBorder="1" applyAlignment="1" applyProtection="1">
      <alignment vertical="center"/>
      <protection locked="0"/>
    </xf>
    <xf numFmtId="0" fontId="0" fillId="63" borderId="105" xfId="4" applyNumberFormat="1" applyFont="1" applyFill="1" applyBorder="1" applyAlignment="1" applyProtection="1">
      <alignment horizontal="center" vertical="center"/>
      <protection locked="0"/>
    </xf>
    <xf numFmtId="0" fontId="0" fillId="0" borderId="105" xfId="4" applyNumberFormat="1" applyFont="1" applyFill="1" applyBorder="1" applyAlignment="1" applyProtection="1">
      <alignment vertical="center"/>
      <protection locked="0"/>
    </xf>
    <xf numFmtId="0" fontId="82" fillId="0" borderId="105" xfId="4" applyNumberFormat="1" applyFont="1" applyFill="1" applyBorder="1" applyAlignment="1" applyProtection="1">
      <alignment horizontal="right" vertical="center"/>
      <protection locked="0"/>
    </xf>
    <xf numFmtId="167" fontId="82" fillId="0" borderId="105" xfId="4" applyNumberFormat="1" applyFont="1" applyFill="1" applyBorder="1" applyAlignment="1">
      <alignment horizontal="center" vertical="center"/>
    </xf>
    <xf numFmtId="170" fontId="94" fillId="0" borderId="124" xfId="4" applyNumberFormat="1" applyFont="1" applyFill="1" applyBorder="1" applyAlignment="1">
      <alignment horizontal="center" vertical="center"/>
    </xf>
    <xf numFmtId="175" fontId="13" fillId="0" borderId="124" xfId="1" applyNumberFormat="1" applyFont="1" applyFill="1" applyBorder="1" applyAlignment="1" applyProtection="1">
      <alignment horizontal="right" vertical="center"/>
      <protection locked="0"/>
    </xf>
    <xf numFmtId="0" fontId="4" fillId="0" borderId="125" xfId="1" applyNumberFormat="1" applyFont="1" applyFill="1" applyBorder="1" applyAlignment="1">
      <alignment vertical="center"/>
    </xf>
    <xf numFmtId="0" fontId="13" fillId="63" borderId="126" xfId="4" applyNumberFormat="1" applyFont="1" applyFill="1" applyBorder="1" applyAlignment="1" applyProtection="1">
      <alignment vertical="center"/>
      <protection locked="0"/>
    </xf>
    <xf numFmtId="0" fontId="44" fillId="63" borderId="0" xfId="4" applyNumberFormat="1" applyFont="1" applyFill="1" applyBorder="1" applyAlignment="1" applyProtection="1">
      <alignment horizontal="left" vertical="center"/>
      <protection locked="0"/>
    </xf>
    <xf numFmtId="0" fontId="0" fillId="0" borderId="0" xfId="4" applyNumberFormat="1" applyFont="1" applyFill="1" applyBorder="1" applyAlignment="1" applyProtection="1">
      <alignment vertical="center"/>
      <protection locked="0"/>
    </xf>
    <xf numFmtId="0" fontId="100" fillId="0" borderId="0" xfId="1" applyNumberFormat="1" applyFont="1" applyBorder="1" applyAlignment="1">
      <alignment horizontal="right" vertical="center"/>
    </xf>
    <xf numFmtId="0" fontId="46" fillId="57" borderId="127" xfId="4" applyNumberFormat="1" applyFont="1" applyFill="1" applyBorder="1" applyAlignment="1">
      <alignment horizontal="center" vertical="center"/>
    </xf>
    <xf numFmtId="0" fontId="46" fillId="57" borderId="128" xfId="4" applyNumberFormat="1" applyFont="1" applyFill="1" applyBorder="1" applyAlignment="1">
      <alignment horizontal="center" vertical="center"/>
    </xf>
    <xf numFmtId="0" fontId="209" fillId="63" borderId="130" xfId="4" applyNumberFormat="1" applyFont="1" applyFill="1" applyBorder="1" applyAlignment="1">
      <alignment vertical="center"/>
    </xf>
    <xf numFmtId="0" fontId="13" fillId="0" borderId="0" xfId="1" applyFont="1" applyBorder="1" applyAlignment="1">
      <alignment horizontal="center" vertical="center"/>
    </xf>
    <xf numFmtId="2" fontId="191" fillId="0" borderId="116" xfId="1" applyNumberFormat="1" applyFont="1" applyFill="1" applyBorder="1" applyAlignment="1">
      <alignment horizontal="center" vertical="center" wrapText="1"/>
    </xf>
    <xf numFmtId="0" fontId="0" fillId="63" borderId="126" xfId="4" applyNumberFormat="1" applyFont="1" applyFill="1" applyBorder="1" applyAlignment="1">
      <alignment vertical="center"/>
    </xf>
    <xf numFmtId="0" fontId="207" fillId="63" borderId="0" xfId="4" applyNumberFormat="1" applyFont="1" applyFill="1" applyBorder="1" applyAlignment="1">
      <alignment horizontal="right" vertical="center"/>
    </xf>
    <xf numFmtId="0" fontId="0" fillId="0" borderId="0" xfId="4" applyNumberFormat="1" applyFont="1" applyFill="1" applyBorder="1" applyAlignment="1">
      <alignment vertical="center"/>
    </xf>
    <xf numFmtId="0" fontId="157" fillId="0" borderId="0" xfId="1" applyNumberFormat="1" applyFont="1" applyBorder="1" applyAlignment="1">
      <alignment horizontal="right" vertical="center"/>
    </xf>
    <xf numFmtId="167" fontId="47" fillId="57" borderId="127" xfId="4" applyNumberFormat="1" applyFont="1" applyFill="1" applyBorder="1" applyAlignment="1">
      <alignment horizontal="center" vertical="center"/>
    </xf>
    <xf numFmtId="0" fontId="44" fillId="0" borderId="0" xfId="1" applyNumberFormat="1" applyFont="1" applyFill="1" applyBorder="1" applyAlignment="1" applyProtection="1">
      <alignment horizontal="center" vertical="center"/>
      <protection locked="0"/>
    </xf>
    <xf numFmtId="0" fontId="209" fillId="63" borderId="49" xfId="4" applyNumberFormat="1" applyFont="1" applyFill="1" applyBorder="1" applyAlignment="1">
      <alignment vertical="center"/>
    </xf>
    <xf numFmtId="0" fontId="4" fillId="0" borderId="0" xfId="1" applyNumberFormat="1" applyFont="1" applyBorder="1" applyAlignment="1">
      <alignment vertical="center"/>
    </xf>
    <xf numFmtId="0" fontId="4" fillId="0" borderId="116" xfId="1" applyNumberFormat="1" applyFont="1" applyFill="1" applyBorder="1" applyAlignment="1">
      <alignment vertical="center"/>
    </xf>
    <xf numFmtId="0" fontId="94" fillId="0" borderId="0" xfId="4" applyNumberFormat="1" applyFont="1" applyFill="1" applyBorder="1" applyAlignment="1">
      <alignment horizontal="center" vertical="center"/>
    </xf>
    <xf numFmtId="0" fontId="94" fillId="0" borderId="131" xfId="4" applyNumberFormat="1" applyFont="1" applyFill="1" applyBorder="1" applyAlignment="1">
      <alignment horizontal="center" vertical="center"/>
    </xf>
    <xf numFmtId="0" fontId="94" fillId="0" borderId="131" xfId="1" applyNumberFormat="1" applyFont="1" applyFill="1" applyBorder="1" applyAlignment="1" applyProtection="1">
      <alignment horizontal="center" vertical="center"/>
      <protection locked="0"/>
    </xf>
    <xf numFmtId="0" fontId="4" fillId="0" borderId="0" xfId="1" applyNumberFormat="1" applyFont="1" applyFill="1" applyBorder="1" applyAlignment="1" applyProtection="1">
      <alignment horizontal="center" vertical="center"/>
      <protection locked="0"/>
    </xf>
    <xf numFmtId="0" fontId="4" fillId="0" borderId="0" xfId="1" applyFont="1" applyBorder="1" applyAlignment="1">
      <alignment horizontal="center" vertical="center"/>
    </xf>
    <xf numFmtId="175" fontId="47" fillId="57" borderId="116" xfId="1" applyNumberFormat="1" applyFont="1" applyFill="1" applyBorder="1" applyAlignment="1" applyProtection="1">
      <alignment horizontal="center" vertical="center"/>
      <protection locked="0"/>
    </xf>
    <xf numFmtId="0" fontId="0" fillId="63" borderId="126" xfId="4" applyNumberFormat="1" applyFont="1" applyFill="1" applyBorder="1" applyAlignment="1" applyProtection="1">
      <alignment vertical="center"/>
      <protection locked="0"/>
    </xf>
    <xf numFmtId="169" fontId="13" fillId="63" borderId="0" xfId="4" applyNumberFormat="1" applyFont="1" applyFill="1" applyBorder="1" applyAlignment="1" applyProtection="1">
      <alignment horizontal="center" vertical="center"/>
      <protection locked="0"/>
    </xf>
    <xf numFmtId="0" fontId="4" fillId="0" borderId="0" xfId="1" applyNumberFormat="1" applyFont="1" applyFill="1" applyBorder="1" applyAlignment="1">
      <alignment vertical="center"/>
    </xf>
    <xf numFmtId="0" fontId="44" fillId="0" borderId="0" xfId="1" applyNumberFormat="1" applyFont="1" applyBorder="1" applyAlignment="1">
      <alignment horizontal="right" vertical="center"/>
    </xf>
    <xf numFmtId="2" fontId="0" fillId="0" borderId="132" xfId="4" applyNumberFormat="1" applyFont="1" applyFill="1" applyBorder="1" applyAlignment="1">
      <alignment horizontal="center" vertical="center"/>
    </xf>
    <xf numFmtId="0" fontId="5" fillId="0" borderId="0" xfId="4" applyNumberFormat="1" applyFont="1" applyFill="1" applyBorder="1" applyAlignment="1">
      <alignment vertical="center"/>
    </xf>
    <xf numFmtId="0" fontId="118" fillId="0" borderId="116" xfId="4" applyNumberFormat="1" applyFont="1" applyFill="1" applyBorder="1" applyAlignment="1">
      <alignment vertical="center"/>
    </xf>
    <xf numFmtId="0" fontId="91" fillId="63" borderId="126" xfId="4" applyNumberFormat="1" applyFont="1" applyFill="1" applyBorder="1" applyAlignment="1" applyProtection="1">
      <alignment horizontal="right" vertical="center"/>
      <protection locked="0"/>
    </xf>
    <xf numFmtId="176" fontId="13" fillId="63" borderId="0" xfId="4" applyNumberFormat="1" applyFont="1" applyFill="1" applyBorder="1" applyAlignment="1">
      <alignment horizontal="left" vertical="center"/>
    </xf>
    <xf numFmtId="0" fontId="29" fillId="0" borderId="0" xfId="1" applyNumberFormat="1" applyFont="1" applyBorder="1" applyAlignment="1">
      <alignment horizontal="right" vertical="center"/>
    </xf>
    <xf numFmtId="2" fontId="13" fillId="0" borderId="132" xfId="4" applyNumberFormat="1" applyFont="1" applyFill="1" applyBorder="1" applyAlignment="1">
      <alignment horizontal="center" vertical="center"/>
    </xf>
    <xf numFmtId="0" fontId="209" fillId="63" borderId="0" xfId="4" applyNumberFormat="1" applyFont="1" applyFill="1" applyBorder="1" applyAlignment="1">
      <alignment vertical="center"/>
    </xf>
    <xf numFmtId="2" fontId="13" fillId="0" borderId="49" xfId="4" applyNumberFormat="1" applyFont="1" applyFill="1" applyBorder="1" applyAlignment="1">
      <alignment horizontal="center" vertical="center"/>
    </xf>
    <xf numFmtId="0" fontId="4" fillId="69" borderId="120" xfId="1" applyFont="1" applyFill="1" applyBorder="1" applyAlignment="1">
      <alignment vertical="center"/>
    </xf>
    <xf numFmtId="0" fontId="4" fillId="69" borderId="121" xfId="1" applyFont="1" applyFill="1" applyBorder="1" applyAlignment="1">
      <alignment vertical="center"/>
    </xf>
    <xf numFmtId="0" fontId="4" fillId="69" borderId="121" xfId="1" applyNumberFormat="1" applyFont="1" applyFill="1" applyBorder="1" applyAlignment="1">
      <alignment vertical="center"/>
    </xf>
    <xf numFmtId="2" fontId="207" fillId="67" borderId="122" xfId="1" applyNumberFormat="1" applyFont="1" applyFill="1" applyBorder="1" applyAlignment="1">
      <alignment horizontal="center" vertical="center" wrapText="1"/>
    </xf>
    <xf numFmtId="0" fontId="157" fillId="69" borderId="81" xfId="4" applyNumberFormat="1" applyFont="1" applyFill="1" applyBorder="1" applyAlignment="1">
      <alignment horizontal="center" vertical="center"/>
    </xf>
    <xf numFmtId="0" fontId="4" fillId="69" borderId="82" xfId="1" applyFont="1" applyFill="1" applyBorder="1" applyAlignment="1">
      <alignment vertical="center"/>
    </xf>
    <xf numFmtId="0" fontId="4" fillId="69" borderId="0" xfId="1" applyFont="1" applyFill="1"/>
    <xf numFmtId="0" fontId="4" fillId="0" borderId="0" xfId="1" applyFont="1" applyFill="1" applyAlignment="1">
      <alignment horizontal="center" vertical="center"/>
    </xf>
    <xf numFmtId="2" fontId="4" fillId="0" borderId="0" xfId="1" applyNumberFormat="1" applyFont="1" applyFill="1" applyBorder="1" applyAlignment="1">
      <alignment horizontal="center" vertical="center"/>
    </xf>
    <xf numFmtId="169" fontId="207" fillId="0" borderId="0" xfId="1" applyNumberFormat="1" applyFont="1" applyFill="1" applyBorder="1" applyAlignment="1">
      <alignment horizontal="center" vertical="center"/>
    </xf>
    <xf numFmtId="0" fontId="97" fillId="0" borderId="0" xfId="1" applyFont="1"/>
    <xf numFmtId="0" fontId="157" fillId="57" borderId="133" xfId="1" applyFont="1" applyFill="1" applyBorder="1" applyAlignment="1">
      <alignment horizontal="center" vertical="center"/>
    </xf>
    <xf numFmtId="0" fontId="157" fillId="57" borderId="134" xfId="1" applyFont="1" applyFill="1" applyBorder="1" applyAlignment="1">
      <alignment horizontal="center" vertical="center"/>
    </xf>
    <xf numFmtId="188" fontId="157" fillId="57" borderId="133" xfId="1" applyNumberFormat="1" applyFont="1" applyFill="1" applyBorder="1" applyAlignment="1">
      <alignment horizontal="center" vertical="center"/>
    </xf>
    <xf numFmtId="188" fontId="157" fillId="57" borderId="134" xfId="1" applyNumberFormat="1" applyFont="1" applyFill="1" applyBorder="1" applyAlignment="1">
      <alignment horizontal="center" vertical="center"/>
    </xf>
    <xf numFmtId="189" fontId="157" fillId="57" borderId="135" xfId="1" applyNumberFormat="1" applyFont="1" applyFill="1" applyBorder="1" applyAlignment="1">
      <alignment horizontal="center" vertical="center"/>
    </xf>
    <xf numFmtId="0" fontId="99" fillId="0" borderId="136" xfId="4" applyNumberFormat="1" applyFont="1" applyFill="1" applyBorder="1" applyAlignment="1">
      <alignment vertical="center" wrapText="1"/>
    </xf>
    <xf numFmtId="188" fontId="157" fillId="57" borderId="137" xfId="1" applyNumberFormat="1" applyFont="1" applyFill="1" applyBorder="1" applyAlignment="1">
      <alignment horizontal="center" vertical="center"/>
    </xf>
    <xf numFmtId="188" fontId="157" fillId="57" borderId="138" xfId="1" applyNumberFormat="1" applyFont="1" applyFill="1" applyBorder="1" applyAlignment="1">
      <alignment horizontal="center" vertical="center"/>
    </xf>
    <xf numFmtId="0" fontId="157" fillId="56" borderId="75" xfId="4" applyNumberFormat="1" applyFont="1" applyFill="1" applyBorder="1" applyAlignment="1">
      <alignment horizontal="center" vertical="center"/>
    </xf>
    <xf numFmtId="0" fontId="91" fillId="56" borderId="0" xfId="4" applyNumberFormat="1" applyFont="1" applyFill="1" applyBorder="1" applyAlignment="1">
      <alignment horizontal="right" vertical="center"/>
    </xf>
    <xf numFmtId="0" fontId="97" fillId="57" borderId="0" xfId="4" applyNumberFormat="1" applyFont="1" applyFill="1" applyBorder="1" applyAlignment="1">
      <alignment vertical="center"/>
    </xf>
    <xf numFmtId="0" fontId="91" fillId="56" borderId="0" xfId="1" applyNumberFormat="1" applyFont="1" applyFill="1" applyBorder="1" applyAlignment="1">
      <alignment vertical="center"/>
    </xf>
    <xf numFmtId="0" fontId="0" fillId="56" borderId="0" xfId="4" applyNumberFormat="1" applyFont="1" applyFill="1" applyBorder="1" applyAlignment="1">
      <alignment vertical="center"/>
    </xf>
    <xf numFmtId="0" fontId="4" fillId="0" borderId="99" xfId="1" applyNumberFormat="1" applyFont="1" applyFill="1" applyBorder="1" applyAlignment="1">
      <alignment vertical="center"/>
    </xf>
    <xf numFmtId="0" fontId="91" fillId="0" borderId="0" xfId="4" applyNumberFormat="1" applyFont="1" applyFill="1" applyBorder="1" applyAlignment="1">
      <alignment horizontal="right" vertical="center"/>
    </xf>
    <xf numFmtId="0" fontId="192" fillId="56" borderId="139" xfId="1" applyNumberFormat="1" applyFont="1" applyFill="1" applyBorder="1" applyAlignment="1">
      <alignment horizontal="center" vertical="center"/>
    </xf>
    <xf numFmtId="1" fontId="198" fillId="56" borderId="0" xfId="1" applyNumberFormat="1" applyFont="1" applyFill="1" applyBorder="1" applyAlignment="1">
      <alignment horizontal="center" vertical="center"/>
    </xf>
    <xf numFmtId="1" fontId="198" fillId="56" borderId="140" xfId="1" applyNumberFormat="1" applyFont="1" applyFill="1" applyBorder="1" applyAlignment="1">
      <alignment horizontal="center" vertical="center"/>
    </xf>
    <xf numFmtId="0" fontId="201" fillId="57" borderId="0" xfId="1" applyNumberFormat="1" applyFont="1" applyFill="1" applyBorder="1" applyAlignment="1">
      <alignment horizontal="left" vertical="center"/>
    </xf>
    <xf numFmtId="0" fontId="94" fillId="56" borderId="0" xfId="1" applyNumberFormat="1" applyFont="1" applyFill="1" applyBorder="1" applyAlignment="1">
      <alignment horizontal="center" vertical="center"/>
    </xf>
    <xf numFmtId="0" fontId="94" fillId="56" borderId="85" xfId="1" applyNumberFormat="1" applyFont="1" applyFill="1" applyBorder="1" applyAlignment="1">
      <alignment horizontal="center" vertical="center"/>
    </xf>
    <xf numFmtId="0" fontId="0" fillId="56" borderId="0" xfId="4" applyNumberFormat="1" applyFont="1" applyFill="1" applyBorder="1" applyAlignment="1">
      <alignment horizontal="right" vertical="center"/>
    </xf>
    <xf numFmtId="167" fontId="99" fillId="57" borderId="0" xfId="4" applyNumberFormat="1" applyFont="1" applyFill="1" applyBorder="1" applyAlignment="1">
      <alignment horizontal="center" vertical="center"/>
    </xf>
    <xf numFmtId="0" fontId="99" fillId="57" borderId="0" xfId="1" applyFont="1" applyFill="1" applyBorder="1" applyAlignment="1">
      <alignment horizontal="left" vertical="center"/>
    </xf>
    <xf numFmtId="0" fontId="99" fillId="57" borderId="99" xfId="1" applyNumberFormat="1" applyFont="1" applyFill="1" applyBorder="1" applyAlignment="1">
      <alignment vertical="center"/>
    </xf>
    <xf numFmtId="0" fontId="99" fillId="57" borderId="0" xfId="1" applyNumberFormat="1" applyFont="1" applyFill="1" applyBorder="1" applyAlignment="1">
      <alignment vertical="center"/>
    </xf>
    <xf numFmtId="0" fontId="200" fillId="56" borderId="99" xfId="1" applyNumberFormat="1" applyFont="1" applyFill="1" applyBorder="1" applyAlignment="1">
      <alignment horizontal="left" vertical="center"/>
    </xf>
    <xf numFmtId="0" fontId="210" fillId="56" borderId="0" xfId="1" applyNumberFormat="1" applyFont="1" applyFill="1" applyBorder="1" applyAlignment="1">
      <alignment horizontal="left" vertical="center"/>
    </xf>
    <xf numFmtId="189" fontId="99" fillId="57" borderId="0" xfId="1" applyNumberFormat="1" applyFont="1" applyFill="1" applyBorder="1" applyAlignment="1">
      <alignment horizontal="center" vertical="center"/>
    </xf>
    <xf numFmtId="0" fontId="4" fillId="56" borderId="0" xfId="1" applyNumberFormat="1" applyFont="1" applyFill="1" applyBorder="1" applyAlignment="1">
      <alignment vertical="center"/>
    </xf>
    <xf numFmtId="0" fontId="157" fillId="0" borderId="141" xfId="4" applyNumberFormat="1" applyFont="1" applyFill="1" applyBorder="1" applyAlignment="1">
      <alignment horizontal="center" vertical="center"/>
    </xf>
    <xf numFmtId="0" fontId="91" fillId="0" borderId="140" xfId="4" applyNumberFormat="1" applyFont="1" applyFill="1" applyBorder="1" applyAlignment="1">
      <alignment horizontal="right" vertical="center"/>
    </xf>
    <xf numFmtId="0" fontId="0" fillId="0" borderId="140" xfId="4" applyNumberFormat="1" applyFont="1" applyFill="1" applyBorder="1" applyAlignment="1">
      <alignment horizontal="center" vertical="center"/>
    </xf>
    <xf numFmtId="1" fontId="91" fillId="0" borderId="140" xfId="4" applyNumberFormat="1" applyFont="1" applyFill="1" applyBorder="1" applyAlignment="1">
      <alignment horizontal="center" vertical="center"/>
    </xf>
    <xf numFmtId="0" fontId="97" fillId="57" borderId="140" xfId="4" applyNumberFormat="1" applyFont="1" applyFill="1" applyBorder="1" applyAlignment="1">
      <alignment horizontal="center" vertical="center"/>
    </xf>
    <xf numFmtId="0" fontId="99" fillId="57" borderId="0" xfId="1" applyNumberFormat="1" applyFont="1" applyFill="1" applyBorder="1" applyAlignment="1">
      <alignment horizontal="center" vertical="center"/>
    </xf>
    <xf numFmtId="0" fontId="99" fillId="57" borderId="0" xfId="4" applyNumberFormat="1" applyFont="1" applyFill="1" applyBorder="1" applyAlignment="1">
      <alignment vertical="center"/>
    </xf>
    <xf numFmtId="0" fontId="99" fillId="57" borderId="82" xfId="1" applyNumberFormat="1" applyFont="1" applyFill="1" applyBorder="1" applyAlignment="1">
      <alignment vertical="center"/>
    </xf>
    <xf numFmtId="0" fontId="99" fillId="57" borderId="82" xfId="1" applyNumberFormat="1" applyFont="1" applyFill="1" applyBorder="1" applyAlignment="1">
      <alignment horizontal="center" vertical="center"/>
    </xf>
    <xf numFmtId="0" fontId="0" fillId="0" borderId="82" xfId="4" applyNumberFormat="1" applyFont="1" applyFill="1" applyBorder="1" applyAlignment="1">
      <alignment horizontal="center" vertical="center"/>
    </xf>
    <xf numFmtId="0" fontId="99" fillId="57" borderId="142" xfId="4" applyNumberFormat="1" applyFont="1" applyFill="1" applyBorder="1" applyAlignment="1">
      <alignment vertical="center"/>
    </xf>
    <xf numFmtId="0" fontId="99" fillId="57" borderId="82" xfId="4" applyNumberFormat="1" applyFont="1" applyFill="1" applyBorder="1" applyAlignment="1">
      <alignment vertical="center"/>
    </xf>
    <xf numFmtId="0" fontId="99" fillId="0" borderId="142" xfId="4" applyNumberFormat="1" applyFont="1" applyFill="1" applyBorder="1" applyAlignment="1">
      <alignment vertical="center" wrapText="1"/>
    </xf>
    <xf numFmtId="1" fontId="198" fillId="0" borderId="82" xfId="1" applyNumberFormat="1" applyFont="1" applyFill="1" applyBorder="1" applyAlignment="1">
      <alignment horizontal="center" vertical="center"/>
    </xf>
    <xf numFmtId="0" fontId="210" fillId="56" borderId="82" xfId="1" applyNumberFormat="1" applyFont="1" applyFill="1" applyBorder="1" applyAlignment="1">
      <alignment horizontal="left" vertical="center"/>
    </xf>
    <xf numFmtId="0" fontId="114" fillId="0" borderId="0" xfId="1" applyFont="1"/>
    <xf numFmtId="166" fontId="17" fillId="16" borderId="0" xfId="1" applyNumberFormat="1" applyFont="1" applyFill="1" applyBorder="1" applyAlignment="1">
      <alignment horizontal="center" vertical="center"/>
    </xf>
    <xf numFmtId="168" fontId="30" fillId="16" borderId="5" xfId="1" applyNumberFormat="1" applyFont="1" applyFill="1" applyBorder="1" applyAlignment="1">
      <alignment horizontal="left" vertical="center"/>
    </xf>
    <xf numFmtId="166" fontId="21" fillId="11" borderId="6" xfId="3" applyNumberFormat="1" applyFont="1" applyFill="1" applyBorder="1" applyAlignment="1">
      <alignment horizontal="center" vertical="center"/>
    </xf>
    <xf numFmtId="166" fontId="21" fillId="11" borderId="5" xfId="3" applyNumberFormat="1" applyFont="1" applyFill="1" applyBorder="1" applyAlignment="1">
      <alignment horizontal="center" vertical="center"/>
    </xf>
    <xf numFmtId="0" fontId="211" fillId="14" borderId="0" xfId="1" applyNumberFormat="1" applyFont="1" applyFill="1" applyBorder="1" applyAlignment="1">
      <alignment horizontal="center" vertical="center"/>
    </xf>
    <xf numFmtId="0" fontId="17" fillId="5" borderId="5" xfId="1" applyFont="1" applyFill="1" applyBorder="1" applyAlignment="1">
      <alignment horizontal="left" vertical="center"/>
    </xf>
    <xf numFmtId="166" fontId="21" fillId="11" borderId="5" xfId="3" applyNumberFormat="1" applyFont="1" applyFill="1" applyBorder="1" applyAlignment="1">
      <alignment horizontal="left" vertical="center"/>
    </xf>
    <xf numFmtId="2" fontId="182" fillId="16" borderId="0" xfId="1" applyNumberFormat="1" applyFont="1" applyFill="1" applyBorder="1" applyAlignment="1">
      <alignment vertical="center"/>
    </xf>
    <xf numFmtId="0" fontId="17" fillId="16" borderId="6" xfId="1" applyNumberFormat="1" applyFont="1" applyFill="1" applyBorder="1" applyAlignment="1">
      <alignment vertical="center"/>
    </xf>
    <xf numFmtId="0" fontId="17" fillId="16" borderId="0" xfId="1" applyNumberFormat="1" applyFont="1" applyFill="1" applyBorder="1" applyAlignment="1">
      <alignment vertical="center"/>
    </xf>
    <xf numFmtId="0" fontId="17" fillId="16" borderId="0" xfId="1" applyNumberFormat="1" applyFont="1" applyFill="1" applyBorder="1" applyAlignment="1">
      <alignment horizontal="right" vertical="center"/>
    </xf>
    <xf numFmtId="0" fontId="211" fillId="14" borderId="5" xfId="1" applyNumberFormat="1" applyFont="1" applyFill="1" applyBorder="1" applyAlignment="1">
      <alignment horizontal="center"/>
    </xf>
    <xf numFmtId="171" fontId="17" fillId="71" borderId="0" xfId="0" applyNumberFormat="1" applyFont="1" applyFill="1" applyBorder="1" applyAlignment="1" applyProtection="1">
      <alignment horizontal="center" vertical="center"/>
      <protection locked="0"/>
    </xf>
    <xf numFmtId="0" fontId="211" fillId="14" borderId="0" xfId="1" applyNumberFormat="1" applyFont="1" applyFill="1" applyBorder="1" applyAlignment="1">
      <alignment horizontal="center"/>
    </xf>
    <xf numFmtId="0" fontId="211" fillId="14" borderId="6" xfId="1" applyNumberFormat="1" applyFont="1" applyFill="1" applyBorder="1" applyAlignment="1">
      <alignment horizontal="center"/>
    </xf>
    <xf numFmtId="2" fontId="12" fillId="2" borderId="0" xfId="0" applyNumberFormat="1" applyFont="1" applyFill="1" applyBorder="1" applyAlignment="1">
      <alignment vertical="center"/>
    </xf>
    <xf numFmtId="2" fontId="42" fillId="2" borderId="144" xfId="0" applyNumberFormat="1" applyFont="1" applyFill="1" applyBorder="1" applyAlignment="1">
      <alignment horizontal="center" vertical="center"/>
    </xf>
    <xf numFmtId="167" fontId="7" fillId="4" borderId="0" xfId="2" applyNumberFormat="1" applyFont="1" applyFill="1" applyBorder="1" applyAlignment="1">
      <alignment horizontal="left" vertical="center"/>
    </xf>
    <xf numFmtId="0" fontId="214" fillId="18" borderId="11" xfId="1" applyFont="1" applyFill="1" applyBorder="1" applyAlignment="1">
      <alignment horizontal="left" vertical="center"/>
    </xf>
    <xf numFmtId="1" fontId="215" fillId="70" borderId="0" xfId="3" applyNumberFormat="1" applyFont="1" applyFill="1" applyBorder="1" applyAlignment="1">
      <alignment horizontal="center" vertical="center"/>
    </xf>
    <xf numFmtId="0" fontId="212" fillId="4" borderId="11" xfId="0" applyFont="1" applyFill="1" applyBorder="1" applyAlignment="1">
      <alignment vertical="center"/>
    </xf>
    <xf numFmtId="0" fontId="212" fillId="4" borderId="0" xfId="0" applyFont="1" applyFill="1" applyBorder="1" applyAlignment="1">
      <alignment horizontal="right" vertical="center"/>
    </xf>
    <xf numFmtId="165" fontId="21" fillId="72" borderId="0" xfId="3" applyNumberFormat="1" applyFont="1" applyFill="1" applyBorder="1" applyAlignment="1">
      <alignment horizontal="right" vertical="center"/>
    </xf>
    <xf numFmtId="0" fontId="31" fillId="73" borderId="0" xfId="1" applyNumberFormat="1" applyFont="1" applyFill="1" applyBorder="1" applyAlignment="1">
      <alignment horizontal="left" vertical="center"/>
    </xf>
    <xf numFmtId="166" fontId="17" fillId="16" borderId="6" xfId="1" applyNumberFormat="1" applyFont="1" applyFill="1" applyBorder="1" applyAlignment="1">
      <alignment horizontal="center" vertical="center"/>
    </xf>
    <xf numFmtId="0" fontId="211" fillId="14" borderId="0" xfId="1" applyNumberFormat="1" applyFont="1" applyFill="1" applyBorder="1" applyAlignment="1">
      <alignment horizontal="right"/>
    </xf>
    <xf numFmtId="0" fontId="182" fillId="11" borderId="6" xfId="0" applyNumberFormat="1" applyFont="1" applyFill="1" applyBorder="1" applyAlignment="1" applyProtection="1">
      <alignment horizontal="center" vertical="center"/>
      <protection locked="0"/>
    </xf>
    <xf numFmtId="0" fontId="182" fillId="11" borderId="5" xfId="0" applyNumberFormat="1" applyFont="1" applyFill="1" applyBorder="1" applyAlignment="1" applyProtection="1">
      <alignment horizontal="center" vertical="center"/>
      <protection locked="0"/>
    </xf>
    <xf numFmtId="0" fontId="17" fillId="5" borderId="0" xfId="1" applyFont="1" applyFill="1" applyBorder="1" applyAlignment="1">
      <alignment horizontal="left" vertical="center"/>
    </xf>
    <xf numFmtId="0" fontId="182" fillId="11" borderId="0" xfId="0" applyNumberFormat="1" applyFont="1" applyFill="1" applyBorder="1" applyAlignment="1" applyProtection="1">
      <alignment horizontal="center" vertical="center"/>
      <protection locked="0"/>
    </xf>
    <xf numFmtId="194" fontId="218" fillId="72" borderId="6" xfId="18" applyNumberFormat="1" applyFont="1" applyFill="1" applyBorder="1" applyAlignment="1">
      <alignment horizontal="center" vertical="center"/>
    </xf>
    <xf numFmtId="165" fontId="211" fillId="16" borderId="0" xfId="1" applyNumberFormat="1" applyFont="1" applyFill="1" applyBorder="1" applyAlignment="1">
      <alignment horizontal="center" vertical="center" wrapText="1"/>
    </xf>
    <xf numFmtId="0" fontId="54" fillId="23" borderId="143" xfId="1" applyFont="1" applyFill="1" applyBorder="1" applyAlignment="1" applyProtection="1">
      <alignment horizontal="center" vertical="center"/>
      <protection hidden="1"/>
    </xf>
    <xf numFmtId="166" fontId="32" fillId="17" borderId="5" xfId="1" applyNumberFormat="1" applyFont="1" applyFill="1" applyBorder="1" applyAlignment="1">
      <alignment horizontal="center" vertical="center"/>
    </xf>
    <xf numFmtId="166" fontId="21" fillId="12" borderId="5" xfId="3" applyNumberFormat="1" applyFont="1" applyFill="1" applyBorder="1" applyAlignment="1">
      <alignment horizontal="center" vertical="center"/>
    </xf>
    <xf numFmtId="166" fontId="31" fillId="16" borderId="6" xfId="1" applyNumberFormat="1" applyFont="1" applyFill="1" applyBorder="1" applyAlignment="1">
      <alignment horizontal="right" vertical="center"/>
    </xf>
    <xf numFmtId="165" fontId="213" fillId="37" borderId="0" xfId="0" applyNumberFormat="1" applyFont="1" applyFill="1" applyBorder="1" applyAlignment="1" applyProtection="1">
      <alignment horizontal="center" vertical="center"/>
      <protection locked="0"/>
    </xf>
    <xf numFmtId="9" fontId="213" fillId="2" borderId="0" xfId="0" applyNumberFormat="1" applyFont="1" applyFill="1" applyBorder="1" applyAlignment="1" applyProtection="1">
      <alignment horizontal="center" vertical="center"/>
      <protection locked="0"/>
    </xf>
    <xf numFmtId="192" fontId="181" fillId="5" borderId="0" xfId="1" applyNumberFormat="1" applyFont="1" applyFill="1" applyBorder="1" applyAlignment="1">
      <alignment horizontal="center" vertical="center"/>
    </xf>
    <xf numFmtId="0" fontId="17" fillId="5" borderId="6" xfId="1" applyFont="1" applyFill="1" applyBorder="1" applyAlignment="1">
      <alignment horizontal="left" vertical="center"/>
    </xf>
    <xf numFmtId="166" fontId="21" fillId="11" borderId="6" xfId="3" applyNumberFormat="1" applyFont="1" applyFill="1" applyBorder="1" applyAlignment="1">
      <alignment horizontal="left" vertical="center"/>
    </xf>
    <xf numFmtId="165" fontId="181" fillId="24" borderId="0" xfId="1" applyNumberFormat="1" applyFont="1" applyFill="1" applyBorder="1" applyAlignment="1">
      <alignment horizontal="center" vertical="center" wrapText="1"/>
    </xf>
    <xf numFmtId="0" fontId="221" fillId="5" borderId="0" xfId="1" applyNumberFormat="1" applyFont="1" applyFill="1" applyBorder="1" applyAlignment="1">
      <alignment horizontal="center" vertical="center" wrapText="1"/>
    </xf>
    <xf numFmtId="9" fontId="222" fillId="11" borderId="0" xfId="3" applyNumberFormat="1" applyFont="1" applyFill="1" applyBorder="1" applyAlignment="1">
      <alignment horizontal="center" vertical="center"/>
    </xf>
    <xf numFmtId="166" fontId="63" fillId="11" borderId="0" xfId="3" applyNumberFormat="1" applyFont="1" applyFill="1" applyBorder="1" applyAlignment="1">
      <alignment horizontal="center" vertical="center"/>
    </xf>
    <xf numFmtId="0" fontId="17" fillId="14" borderId="146" xfId="1" applyNumberFormat="1" applyFont="1" applyFill="1" applyBorder="1" applyAlignment="1">
      <alignment horizontal="center" vertical="center"/>
    </xf>
    <xf numFmtId="0" fontId="63" fillId="11" borderId="0" xfId="3" applyNumberFormat="1" applyFont="1" applyFill="1" applyBorder="1" applyAlignment="1">
      <alignment horizontal="right" vertical="center"/>
    </xf>
    <xf numFmtId="0" fontId="17" fillId="14" borderId="145" xfId="1" applyNumberFormat="1" applyFont="1" applyFill="1" applyBorder="1" applyAlignment="1">
      <alignment horizontal="center" vertical="center"/>
    </xf>
    <xf numFmtId="167" fontId="41" fillId="4" borderId="0" xfId="3" applyNumberFormat="1" applyFont="1" applyFill="1" applyBorder="1" applyAlignment="1">
      <alignment horizontal="left" vertical="center"/>
    </xf>
    <xf numFmtId="1" fontId="223" fillId="4" borderId="0" xfId="3" applyNumberFormat="1" applyFont="1" applyFill="1" applyBorder="1" applyAlignment="1">
      <alignment horizontal="left" vertical="center"/>
    </xf>
    <xf numFmtId="1" fontId="215" fillId="4" borderId="0" xfId="3" applyNumberFormat="1" applyFont="1" applyFill="1" applyBorder="1" applyAlignment="1">
      <alignment horizontal="center" vertical="center"/>
    </xf>
    <xf numFmtId="166" fontId="17" fillId="16" borderId="5" xfId="1" applyNumberFormat="1" applyFont="1" applyFill="1" applyBorder="1" applyAlignment="1">
      <alignment horizontal="center" vertical="center"/>
    </xf>
    <xf numFmtId="0" fontId="182" fillId="37" borderId="0" xfId="0" applyNumberFormat="1" applyFont="1" applyFill="1" applyBorder="1" applyAlignment="1" applyProtection="1">
      <alignment horizontal="center" vertical="center"/>
      <protection locked="0"/>
    </xf>
    <xf numFmtId="166" fontId="30" fillId="33" borderId="0" xfId="1" applyNumberFormat="1" applyFont="1" applyFill="1" applyBorder="1" applyAlignment="1">
      <alignment horizontal="center" vertical="center"/>
    </xf>
    <xf numFmtId="166" fontId="56" fillId="11" borderId="6" xfId="3" applyNumberFormat="1" applyFont="1" applyFill="1" applyBorder="1" applyAlignment="1">
      <alignment horizontal="center" vertical="center"/>
    </xf>
    <xf numFmtId="0" fontId="30" fillId="16" borderId="0" xfId="1" applyNumberFormat="1" applyFont="1" applyFill="1" applyBorder="1" applyAlignment="1">
      <alignment horizontal="center" vertical="center"/>
    </xf>
    <xf numFmtId="0" fontId="31" fillId="16" borderId="6" xfId="1" applyNumberFormat="1" applyFont="1" applyFill="1" applyBorder="1" applyAlignment="1">
      <alignment horizontal="center" vertical="center"/>
    </xf>
    <xf numFmtId="0" fontId="21" fillId="11" borderId="0" xfId="3" applyNumberFormat="1" applyFont="1" applyFill="1" applyBorder="1" applyAlignment="1">
      <alignment horizontal="center" vertical="center"/>
    </xf>
    <xf numFmtId="0" fontId="24" fillId="11" borderId="0" xfId="3" applyNumberFormat="1" applyFont="1" applyFill="1" applyBorder="1" applyAlignment="1">
      <alignment horizontal="center" vertical="center"/>
    </xf>
    <xf numFmtId="0" fontId="21" fillId="74" borderId="0" xfId="3" applyNumberFormat="1" applyFont="1" applyFill="1" applyBorder="1" applyAlignment="1">
      <alignment horizontal="center" vertical="center"/>
    </xf>
    <xf numFmtId="164" fontId="21" fillId="76" borderId="0" xfId="3" applyNumberFormat="1" applyFont="1" applyFill="1" applyBorder="1" applyAlignment="1">
      <alignment horizontal="center" vertical="center"/>
    </xf>
    <xf numFmtId="0" fontId="68" fillId="26" borderId="3" xfId="1" applyFont="1" applyFill="1" applyBorder="1" applyAlignment="1" applyProtection="1">
      <alignment horizontal="center" vertical="center"/>
      <protection hidden="1"/>
    </xf>
    <xf numFmtId="0" fontId="181" fillId="4" borderId="0" xfId="0" applyNumberFormat="1" applyFont="1" applyFill="1" applyBorder="1" applyAlignment="1" applyProtection="1">
      <alignment horizontal="center" vertical="center"/>
      <protection locked="0"/>
    </xf>
    <xf numFmtId="166" fontId="53" fillId="26" borderId="0" xfId="3" applyNumberFormat="1" applyFont="1" applyFill="1" applyBorder="1" applyAlignment="1">
      <alignment horizontal="center" vertical="center"/>
    </xf>
    <xf numFmtId="0" fontId="63" fillId="4" borderId="18" xfId="2" applyFont="1" applyFill="1" applyBorder="1" applyAlignment="1" applyProtection="1">
      <alignment horizontal="center" vertical="center"/>
      <protection locked="0"/>
    </xf>
    <xf numFmtId="0" fontId="28" fillId="4" borderId="0" xfId="1" applyFont="1" applyFill="1" applyBorder="1" applyAlignment="1" applyProtection="1">
      <alignment horizontal="center" vertical="center"/>
      <protection hidden="1"/>
    </xf>
    <xf numFmtId="0" fontId="86" fillId="4" borderId="0" xfId="1" applyFont="1" applyFill="1" applyProtection="1">
      <protection hidden="1"/>
    </xf>
    <xf numFmtId="0" fontId="93" fillId="4" borderId="0" xfId="0" applyFont="1" applyFill="1"/>
    <xf numFmtId="0" fontId="227" fillId="4" borderId="0" xfId="0" applyFont="1" applyFill="1"/>
    <xf numFmtId="0" fontId="228" fillId="4" borderId="0" xfId="8" applyFont="1" applyFill="1"/>
    <xf numFmtId="0" fontId="229" fillId="4" borderId="0" xfId="0" applyFont="1" applyFill="1"/>
    <xf numFmtId="0" fontId="45" fillId="4" borderId="0" xfId="0" applyFont="1" applyFill="1"/>
    <xf numFmtId="0" fontId="229" fillId="4" borderId="0" xfId="0" applyFont="1" applyFill="1" applyAlignment="1">
      <alignment vertical="center"/>
    </xf>
    <xf numFmtId="0" fontId="43" fillId="30" borderId="0" xfId="1" applyFont="1" applyFill="1" applyBorder="1" applyAlignment="1">
      <alignment horizontal="left" vertical="center"/>
    </xf>
    <xf numFmtId="0" fontId="230" fillId="30" borderId="0" xfId="1" applyFont="1" applyFill="1" applyBorder="1" applyAlignment="1">
      <alignment horizontal="centerContinuous" vertical="center"/>
    </xf>
    <xf numFmtId="0" fontId="230" fillId="30" borderId="0" xfId="1" applyFont="1" applyFill="1" applyBorder="1" applyAlignment="1">
      <alignment horizontal="center" vertical="center"/>
    </xf>
    <xf numFmtId="0" fontId="69" fillId="4" borderId="0" xfId="1" applyFont="1" applyFill="1" applyBorder="1" applyAlignment="1">
      <alignment horizontal="centerContinuous" vertical="center"/>
    </xf>
    <xf numFmtId="0" fontId="69" fillId="4" borderId="0" xfId="1" applyFont="1" applyFill="1" applyBorder="1" applyAlignment="1">
      <alignment horizontal="center" vertical="center"/>
    </xf>
    <xf numFmtId="0" fontId="160" fillId="4" borderId="0" xfId="0" applyFont="1" applyFill="1"/>
    <xf numFmtId="0" fontId="174" fillId="4" borderId="0" xfId="8" applyFont="1" applyFill="1"/>
    <xf numFmtId="0" fontId="231" fillId="4" borderId="0" xfId="1" applyFont="1" applyFill="1" applyBorder="1" applyAlignment="1">
      <alignment vertical="center"/>
    </xf>
    <xf numFmtId="0" fontId="86" fillId="4" borderId="0" xfId="1" applyFont="1" applyFill="1" applyBorder="1" applyAlignment="1" applyProtection="1">
      <alignment horizontal="left" vertical="center"/>
      <protection hidden="1"/>
    </xf>
    <xf numFmtId="1" fontId="43" fillId="4" borderId="0" xfId="3" applyNumberFormat="1" applyFont="1" applyFill="1" applyBorder="1" applyAlignment="1">
      <alignment horizontal="left" vertical="center"/>
    </xf>
    <xf numFmtId="0" fontId="226" fillId="4" borderId="0" xfId="0" applyFont="1" applyFill="1"/>
    <xf numFmtId="167" fontId="70" fillId="4" borderId="0" xfId="3" applyNumberFormat="1" applyFont="1" applyFill="1" applyBorder="1" applyAlignment="1">
      <alignment horizontal="left" vertical="center"/>
    </xf>
    <xf numFmtId="192" fontId="232" fillId="24" borderId="0" xfId="1" applyNumberFormat="1" applyFont="1" applyFill="1" applyBorder="1" applyAlignment="1">
      <alignment horizontal="left" vertical="center"/>
    </xf>
    <xf numFmtId="0" fontId="26" fillId="18" borderId="0" xfId="0" applyFont="1" applyFill="1" applyBorder="1" applyAlignment="1" applyProtection="1">
      <alignment horizontal="right" vertical="center"/>
      <protection locked="0"/>
    </xf>
    <xf numFmtId="168" fontId="26" fillId="18" borderId="5" xfId="0" applyNumberFormat="1" applyFont="1" applyFill="1" applyBorder="1" applyAlignment="1" applyProtection="1">
      <alignment horizontal="center" vertical="center"/>
      <protection locked="0"/>
    </xf>
    <xf numFmtId="0" fontId="0" fillId="4" borderId="6" xfId="0" applyFill="1" applyBorder="1"/>
    <xf numFmtId="0" fontId="48" fillId="4" borderId="0" xfId="0" applyFont="1" applyFill="1" applyBorder="1" applyAlignment="1" applyProtection="1">
      <alignment horizontal="right" vertical="center"/>
      <protection locked="0"/>
    </xf>
    <xf numFmtId="0" fontId="26" fillId="4" borderId="0" xfId="0" applyFont="1" applyFill="1" applyBorder="1" applyAlignment="1" applyProtection="1">
      <alignment horizontal="right" vertical="center"/>
      <protection locked="0"/>
    </xf>
    <xf numFmtId="0" fontId="17" fillId="4" borderId="0" xfId="0" applyFont="1" applyFill="1" applyBorder="1" applyAlignment="1" applyProtection="1">
      <alignment horizontal="right" vertical="center"/>
      <protection locked="0"/>
    </xf>
    <xf numFmtId="0" fontId="17" fillId="18" borderId="0" xfId="0" applyFont="1" applyFill="1" applyBorder="1" applyAlignment="1" applyProtection="1">
      <alignment horizontal="right" vertical="center"/>
      <protection locked="0"/>
    </xf>
    <xf numFmtId="0" fontId="52" fillId="0" borderId="5" xfId="0" applyFont="1" applyBorder="1" applyAlignment="1"/>
    <xf numFmtId="166" fontId="53" fillId="26" borderId="8" xfId="3" applyNumberFormat="1" applyFont="1" applyFill="1" applyBorder="1" applyAlignment="1">
      <alignment horizontal="center" vertical="center"/>
    </xf>
    <xf numFmtId="0" fontId="233" fillId="4" borderId="0" xfId="0" applyFont="1" applyFill="1" applyBorder="1" applyAlignment="1" applyProtection="1">
      <alignment horizontal="right" vertical="center"/>
      <protection locked="0"/>
    </xf>
    <xf numFmtId="171" fontId="234" fillId="25" borderId="0" xfId="0" applyNumberFormat="1" applyFont="1" applyFill="1" applyBorder="1" applyAlignment="1" applyProtection="1">
      <alignment horizontal="center" vertical="center"/>
      <protection locked="0"/>
    </xf>
    <xf numFmtId="166" fontId="26" fillId="4" borderId="5" xfId="0" applyNumberFormat="1" applyFont="1" applyFill="1" applyBorder="1" applyAlignment="1" applyProtection="1">
      <alignment horizontal="center" vertical="center"/>
      <protection locked="0"/>
    </xf>
    <xf numFmtId="0" fontId="52" fillId="8" borderId="6" xfId="0" applyFont="1" applyFill="1" applyBorder="1"/>
    <xf numFmtId="0" fontId="0" fillId="8" borderId="0" xfId="0" applyFill="1" applyBorder="1"/>
    <xf numFmtId="0" fontId="0" fillId="8" borderId="6" xfId="0" applyFill="1" applyBorder="1"/>
    <xf numFmtId="0" fontId="50" fillId="8" borderId="0" xfId="0" applyFont="1" applyFill="1" applyBorder="1" applyAlignment="1" applyProtection="1">
      <alignment horizontal="right" vertical="center"/>
      <protection locked="0"/>
    </xf>
    <xf numFmtId="0" fontId="233" fillId="8" borderId="0" xfId="0" applyFont="1" applyFill="1" applyBorder="1" applyAlignment="1" applyProtection="1">
      <alignment horizontal="right" vertical="center"/>
      <protection locked="0"/>
    </xf>
    <xf numFmtId="0" fontId="48" fillId="8" borderId="0" xfId="0" applyFont="1" applyFill="1" applyBorder="1" applyAlignment="1" applyProtection="1">
      <alignment horizontal="right" vertical="center"/>
      <protection locked="0"/>
    </xf>
    <xf numFmtId="0" fontId="52" fillId="8" borderId="6" xfId="0" applyFont="1" applyFill="1" applyBorder="1" applyAlignment="1"/>
    <xf numFmtId="0" fontId="52" fillId="8" borderId="0" xfId="0" applyFont="1" applyFill="1" applyBorder="1" applyAlignment="1"/>
    <xf numFmtId="0" fontId="13" fillId="4" borderId="0" xfId="1" applyFont="1" applyFill="1" applyBorder="1" applyAlignment="1">
      <alignment horizontal="left" vertical="center"/>
    </xf>
    <xf numFmtId="0" fontId="78" fillId="4" borderId="0" xfId="8" applyFill="1" applyBorder="1" applyAlignment="1">
      <alignment horizontal="left" vertical="center"/>
    </xf>
    <xf numFmtId="0" fontId="0" fillId="37" borderId="0" xfId="0" applyFill="1"/>
    <xf numFmtId="49" fontId="29" fillId="37" borderId="0" xfId="0" applyNumberFormat="1" applyFont="1" applyFill="1" applyBorder="1" applyAlignment="1">
      <alignment horizontal="left" vertical="center"/>
    </xf>
    <xf numFmtId="0" fontId="237" fillId="54" borderId="0" xfId="0" applyFont="1" applyFill="1" applyAlignment="1">
      <alignment horizontal="left" vertical="center"/>
    </xf>
    <xf numFmtId="0" fontId="45" fillId="37" borderId="0" xfId="0" applyFont="1" applyFill="1" applyAlignment="1">
      <alignment horizontal="left" vertical="center"/>
    </xf>
    <xf numFmtId="0" fontId="0" fillId="4" borderId="5" xfId="0" applyFill="1" applyBorder="1" applyAlignment="1">
      <alignment vertical="center"/>
    </xf>
    <xf numFmtId="166" fontId="34" fillId="37" borderId="6" xfId="3" applyNumberFormat="1" applyFont="1" applyFill="1" applyBorder="1" applyAlignment="1">
      <alignment horizontal="center" vertical="center"/>
    </xf>
    <xf numFmtId="0" fontId="3" fillId="4" borderId="0" xfId="0" applyFont="1" applyFill="1" applyBorder="1" applyAlignment="1">
      <alignment vertical="center"/>
    </xf>
    <xf numFmtId="0" fontId="5" fillId="4" borderId="0" xfId="1" applyFont="1" applyFill="1" applyBorder="1" applyProtection="1">
      <protection hidden="1"/>
    </xf>
    <xf numFmtId="0" fontId="52" fillId="4" borderId="0" xfId="0" applyFont="1" applyFill="1" applyBorder="1" applyAlignment="1">
      <alignment vertical="center"/>
    </xf>
    <xf numFmtId="0" fontId="93" fillId="4" borderId="0" xfId="0" applyFont="1" applyFill="1" applyBorder="1"/>
    <xf numFmtId="0" fontId="0" fillId="4" borderId="150" xfId="0" applyFill="1" applyBorder="1"/>
    <xf numFmtId="0" fontId="0" fillId="4" borderId="1" xfId="0" applyFill="1" applyBorder="1"/>
    <xf numFmtId="0" fontId="0" fillId="4" borderId="149" xfId="0" applyFill="1" applyBorder="1"/>
    <xf numFmtId="0" fontId="0" fillId="2" borderId="149" xfId="0" applyFill="1" applyBorder="1"/>
    <xf numFmtId="166" fontId="31" fillId="16" borderId="0" xfId="1" applyNumberFormat="1" applyFont="1" applyFill="1" applyBorder="1" applyAlignment="1">
      <alignment horizontal="center" vertical="center"/>
    </xf>
    <xf numFmtId="0" fontId="0" fillId="4" borderId="0" xfId="0" applyFill="1" applyAlignment="1">
      <alignment horizontal="right"/>
    </xf>
    <xf numFmtId="172" fontId="17" fillId="71" borderId="0" xfId="0" applyNumberFormat="1" applyFont="1" applyFill="1" applyBorder="1" applyAlignment="1" applyProtection="1">
      <alignment horizontal="center" vertical="center"/>
      <protection locked="0"/>
    </xf>
    <xf numFmtId="0" fontId="182" fillId="11" borderId="0" xfId="0" applyNumberFormat="1" applyFont="1" applyFill="1" applyBorder="1" applyAlignment="1" applyProtection="1">
      <alignment horizontal="center" vertical="center" wrapText="1"/>
      <protection locked="0"/>
    </xf>
    <xf numFmtId="0" fontId="42" fillId="4" borderId="6" xfId="0" applyFont="1" applyFill="1" applyBorder="1" applyAlignment="1">
      <alignment vertical="center"/>
    </xf>
    <xf numFmtId="0" fontId="42" fillId="4" borderId="0" xfId="0" applyFont="1" applyFill="1" applyBorder="1" applyAlignment="1">
      <alignment vertical="center"/>
    </xf>
    <xf numFmtId="0" fontId="42" fillId="4" borderId="5" xfId="0" applyFont="1" applyFill="1" applyBorder="1" applyAlignment="1">
      <alignment vertical="center"/>
    </xf>
    <xf numFmtId="0" fontId="52" fillId="4" borderId="6" xfId="0" applyFont="1" applyFill="1" applyBorder="1" applyAlignment="1">
      <alignment horizontal="left" vertical="center"/>
    </xf>
    <xf numFmtId="0" fontId="42" fillId="4" borderId="6" xfId="0" applyFont="1" applyFill="1" applyBorder="1" applyAlignment="1">
      <alignment horizontal="right" vertical="center"/>
    </xf>
    <xf numFmtId="198" fontId="207" fillId="4" borderId="0" xfId="1" applyNumberFormat="1" applyFont="1" applyFill="1" applyBorder="1" applyAlignment="1" applyProtection="1">
      <alignment horizontal="center" vertical="center"/>
      <protection hidden="1"/>
    </xf>
    <xf numFmtId="0" fontId="3" fillId="4" borderId="145" xfId="0" applyFont="1" applyFill="1" applyBorder="1" applyAlignment="1">
      <alignment horizontal="center"/>
    </xf>
    <xf numFmtId="9" fontId="224" fillId="24" borderId="0" xfId="1" applyNumberFormat="1" applyFont="1" applyFill="1" applyBorder="1" applyAlignment="1">
      <alignment horizontal="left" vertical="center"/>
    </xf>
    <xf numFmtId="1" fontId="51" fillId="4" borderId="0" xfId="3" applyNumberFormat="1" applyFont="1" applyFill="1" applyBorder="1" applyAlignment="1">
      <alignment horizontal="center" vertical="center"/>
    </xf>
    <xf numFmtId="10" fontId="226" fillId="4" borderId="0" xfId="0" applyNumberFormat="1" applyFont="1" applyFill="1"/>
    <xf numFmtId="0" fontId="160" fillId="46" borderId="0" xfId="0" applyFont="1" applyFill="1" applyBorder="1" applyAlignment="1">
      <alignment vertical="center"/>
    </xf>
    <xf numFmtId="192" fontId="246" fillId="5" borderId="0" xfId="1" applyNumberFormat="1" applyFont="1" applyFill="1" applyBorder="1" applyAlignment="1">
      <alignment horizontal="center" vertical="center"/>
    </xf>
    <xf numFmtId="0" fontId="3" fillId="4" borderId="0" xfId="0" applyFont="1" applyFill="1" applyBorder="1"/>
    <xf numFmtId="0" fontId="20" fillId="29" borderId="6" xfId="4" applyFont="1" applyFill="1" applyBorder="1" applyAlignment="1">
      <alignment vertical="center"/>
    </xf>
    <xf numFmtId="0" fontId="16" fillId="7" borderId="6" xfId="0" applyFont="1" applyFill="1" applyBorder="1" applyAlignment="1">
      <alignment horizontal="left" vertical="center" textRotation="90" wrapText="1"/>
    </xf>
    <xf numFmtId="0" fontId="3" fillId="4" borderId="6" xfId="0" applyFont="1" applyFill="1" applyBorder="1" applyAlignment="1">
      <alignment vertical="center"/>
    </xf>
    <xf numFmtId="0" fontId="3" fillId="4" borderId="6" xfId="0" applyFont="1" applyFill="1" applyBorder="1"/>
    <xf numFmtId="0" fontId="52" fillId="0" borderId="0" xfId="0" applyFont="1" applyBorder="1"/>
    <xf numFmtId="0" fontId="52" fillId="4" borderId="0" xfId="0" applyFont="1" applyFill="1" applyBorder="1"/>
    <xf numFmtId="0" fontId="3" fillId="0" borderId="0" xfId="0" applyFont="1" applyBorder="1" applyAlignment="1">
      <alignment vertical="center"/>
    </xf>
    <xf numFmtId="0" fontId="0" fillId="0" borderId="6" xfId="0" applyBorder="1"/>
    <xf numFmtId="0" fontId="0" fillId="2" borderId="1" xfId="0" applyFill="1" applyBorder="1"/>
    <xf numFmtId="2" fontId="247" fillId="0" borderId="0" xfId="2" applyNumberFormat="1" applyFont="1" applyFill="1" applyAlignment="1">
      <alignment horizontal="center" textRotation="90"/>
    </xf>
    <xf numFmtId="0" fontId="160" fillId="4" borderId="0" xfId="0" applyFont="1" applyFill="1" applyBorder="1"/>
    <xf numFmtId="0" fontId="243" fillId="30" borderId="0" xfId="0" applyFont="1" applyFill="1" applyBorder="1" applyAlignment="1">
      <alignment horizontal="right" vertical="center"/>
    </xf>
    <xf numFmtId="0" fontId="243" fillId="30" borderId="0" xfId="0" applyFont="1" applyFill="1" applyBorder="1" applyAlignment="1">
      <alignment horizontal="center" vertical="center"/>
    </xf>
    <xf numFmtId="0" fontId="3" fillId="2" borderId="0" xfId="0" applyFont="1" applyFill="1" applyBorder="1" applyAlignment="1">
      <alignment horizontal="right" wrapText="1"/>
    </xf>
    <xf numFmtId="0" fontId="52" fillId="2" borderId="0" xfId="0" applyFont="1" applyFill="1" applyBorder="1" applyAlignment="1">
      <alignment horizontal="right" vertical="center" wrapText="1"/>
    </xf>
    <xf numFmtId="0" fontId="52" fillId="2" borderId="5" xfId="0" applyFont="1" applyFill="1" applyBorder="1" applyAlignment="1">
      <alignment horizontal="center" vertical="center" wrapText="1"/>
    </xf>
    <xf numFmtId="0" fontId="70" fillId="77" borderId="0" xfId="0" applyFont="1" applyFill="1" applyAlignment="1">
      <alignment horizontal="center" vertical="center"/>
    </xf>
    <xf numFmtId="0" fontId="11" fillId="4" borderId="0" xfId="1" applyFont="1" applyFill="1" applyBorder="1" applyAlignment="1">
      <alignment horizontal="right" vertical="center"/>
    </xf>
    <xf numFmtId="0" fontId="70" fillId="78" borderId="0" xfId="0" applyFont="1" applyFill="1" applyAlignment="1">
      <alignment horizontal="center" vertical="center"/>
    </xf>
    <xf numFmtId="0" fontId="235" fillId="4" borderId="0" xfId="0" applyFont="1" applyFill="1"/>
    <xf numFmtId="0" fontId="4" fillId="38" borderId="0" xfId="1" applyFill="1" applyProtection="1">
      <protection hidden="1"/>
    </xf>
    <xf numFmtId="0" fontId="1" fillId="38" borderId="0" xfId="2" applyFill="1"/>
    <xf numFmtId="0" fontId="4" fillId="38" borderId="0" xfId="1" applyFont="1" applyFill="1" applyAlignment="1">
      <alignment vertical="center"/>
    </xf>
    <xf numFmtId="0" fontId="4" fillId="0" borderId="0" xfId="1"/>
    <xf numFmtId="0" fontId="248" fillId="38" borderId="0" xfId="1" applyFont="1" applyFill="1" applyAlignment="1">
      <alignment vertical="center"/>
    </xf>
    <xf numFmtId="0" fontId="249" fillId="38" borderId="0" xfId="1" applyFont="1" applyFill="1" applyAlignment="1">
      <alignment vertical="center"/>
    </xf>
    <xf numFmtId="0" fontId="250" fillId="38" borderId="0" xfId="1" applyFont="1" applyFill="1" applyAlignment="1">
      <alignment vertical="center"/>
    </xf>
    <xf numFmtId="0" fontId="252" fillId="38" borderId="0" xfId="1" applyFont="1" applyFill="1" applyAlignment="1">
      <alignment vertical="center"/>
    </xf>
    <xf numFmtId="0" fontId="253" fillId="38" borderId="0" xfId="1" applyFont="1" applyFill="1" applyAlignment="1">
      <alignment vertical="center"/>
    </xf>
    <xf numFmtId="0" fontId="253" fillId="38" borderId="0" xfId="1" applyFont="1" applyFill="1" applyProtection="1">
      <protection hidden="1"/>
    </xf>
    <xf numFmtId="0" fontId="254" fillId="38" borderId="0" xfId="1" applyFont="1" applyFill="1" applyProtection="1">
      <protection hidden="1"/>
    </xf>
    <xf numFmtId="0" fontId="4" fillId="38" borderId="0" xfId="1" applyFill="1" applyAlignment="1" applyProtection="1">
      <alignment vertical="center"/>
      <protection hidden="1"/>
    </xf>
    <xf numFmtId="0" fontId="253" fillId="38" borderId="0" xfId="1" applyFont="1" applyFill="1" applyAlignment="1" applyProtection="1">
      <alignment vertical="center"/>
      <protection hidden="1"/>
    </xf>
    <xf numFmtId="0" fontId="255" fillId="38" borderId="0" xfId="1" applyFont="1" applyFill="1" applyAlignment="1" applyProtection="1">
      <alignment vertical="center"/>
      <protection hidden="1"/>
    </xf>
    <xf numFmtId="0" fontId="257" fillId="38" borderId="0" xfId="1" applyFont="1" applyFill="1" applyAlignment="1" applyProtection="1">
      <alignment vertical="center"/>
      <protection hidden="1"/>
    </xf>
    <xf numFmtId="0" fontId="4" fillId="38" borderId="0" xfId="1" applyFont="1" applyFill="1"/>
    <xf numFmtId="0" fontId="258" fillId="0" borderId="0" xfId="8" applyFont="1"/>
    <xf numFmtId="0" fontId="51" fillId="4" borderId="0" xfId="1" applyFont="1" applyFill="1" applyBorder="1" applyAlignment="1">
      <alignment horizontal="center" vertical="center" wrapText="1"/>
    </xf>
    <xf numFmtId="0" fontId="11" fillId="79" borderId="0" xfId="1" applyFont="1" applyFill="1" applyBorder="1" applyAlignment="1">
      <alignment horizontal="left" vertical="center"/>
    </xf>
    <xf numFmtId="0" fontId="259" fillId="4" borderId="0" xfId="1" applyFont="1" applyFill="1" applyAlignment="1" applyProtection="1">
      <alignment horizontal="center"/>
      <protection hidden="1"/>
    </xf>
    <xf numFmtId="2" fontId="62" fillId="4" borderId="0" xfId="2" applyNumberFormat="1" applyFont="1" applyFill="1" applyBorder="1" applyAlignment="1">
      <alignment horizontal="right" vertical="center"/>
    </xf>
    <xf numFmtId="0" fontId="259" fillId="4" borderId="0" xfId="2" applyFont="1" applyFill="1" applyAlignment="1">
      <alignment horizontal="center"/>
    </xf>
    <xf numFmtId="0" fontId="232" fillId="77" borderId="0" xfId="0" applyFont="1" applyFill="1" applyAlignment="1">
      <alignment horizontal="right" vertical="center"/>
    </xf>
    <xf numFmtId="0" fontId="17" fillId="43" borderId="3" xfId="0" applyFont="1" applyFill="1" applyBorder="1" applyAlignment="1">
      <alignment horizontal="right" vertical="center"/>
    </xf>
    <xf numFmtId="166" fontId="56" fillId="43" borderId="3" xfId="3" applyNumberFormat="1" applyFont="1" applyFill="1" applyBorder="1" applyAlignment="1">
      <alignment horizontal="center" vertical="center"/>
    </xf>
    <xf numFmtId="0" fontId="0" fillId="46" borderId="0" xfId="0" applyFill="1"/>
    <xf numFmtId="0" fontId="17" fillId="22" borderId="3" xfId="0" applyFont="1" applyFill="1" applyBorder="1" applyAlignment="1">
      <alignment horizontal="right" vertical="center"/>
    </xf>
    <xf numFmtId="0" fontId="0" fillId="22" borderId="0" xfId="0" applyFill="1" applyBorder="1"/>
    <xf numFmtId="0" fontId="14" fillId="4" borderId="152" xfId="0" applyFont="1" applyFill="1" applyBorder="1" applyAlignment="1">
      <alignment vertical="center"/>
    </xf>
    <xf numFmtId="0" fontId="41" fillId="70" borderId="153" xfId="0" applyFont="1" applyFill="1" applyBorder="1" applyAlignment="1">
      <alignment horizontal="center" vertical="center"/>
    </xf>
    <xf numFmtId="166" fontId="62" fillId="70" borderId="154" xfId="3" applyNumberFormat="1" applyFont="1" applyFill="1" applyBorder="1" applyAlignment="1">
      <alignment horizontal="center" vertical="center"/>
    </xf>
    <xf numFmtId="166" fontId="24" fillId="80" borderId="5" xfId="3" applyNumberFormat="1" applyFont="1" applyFill="1" applyBorder="1" applyAlignment="1">
      <alignment horizontal="center" vertical="center"/>
    </xf>
    <xf numFmtId="2" fontId="261" fillId="16" borderId="0" xfId="1" applyNumberFormat="1" applyFont="1" applyFill="1" applyBorder="1" applyAlignment="1">
      <alignment vertical="center"/>
    </xf>
    <xf numFmtId="166" fontId="17" fillId="43" borderId="3" xfId="0" applyNumberFormat="1" applyFont="1" applyFill="1" applyBorder="1" applyAlignment="1">
      <alignment horizontal="center" vertical="center"/>
    </xf>
    <xf numFmtId="0" fontId="17" fillId="43" borderId="3" xfId="0" applyFont="1" applyFill="1" applyBorder="1" applyAlignment="1">
      <alignment horizontal="left" vertical="center"/>
    </xf>
    <xf numFmtId="0" fontId="14" fillId="4" borderId="155" xfId="0" applyFont="1" applyFill="1" applyBorder="1" applyAlignment="1">
      <alignment vertical="center"/>
    </xf>
    <xf numFmtId="0" fontId="14" fillId="4" borderId="157" xfId="0" applyFont="1" applyFill="1" applyBorder="1" applyAlignment="1">
      <alignment vertical="center"/>
    </xf>
    <xf numFmtId="0" fontId="14" fillId="4" borderId="158" xfId="0" applyFont="1" applyFill="1" applyBorder="1" applyAlignment="1">
      <alignment vertical="center"/>
    </xf>
    <xf numFmtId="0" fontId="240" fillId="4" borderId="155" xfId="0" applyFont="1" applyFill="1" applyBorder="1" applyAlignment="1">
      <alignment vertical="center"/>
    </xf>
    <xf numFmtId="0" fontId="232" fillId="30" borderId="0" xfId="0" applyFont="1" applyFill="1" applyAlignment="1">
      <alignment vertical="center"/>
    </xf>
    <xf numFmtId="0" fontId="49" fillId="18" borderId="6" xfId="0" applyFont="1" applyFill="1" applyBorder="1" applyAlignment="1" applyProtection="1">
      <alignment horizontal="right" vertical="center"/>
      <protection locked="0"/>
    </xf>
    <xf numFmtId="185" fontId="47" fillId="25" borderId="5" xfId="0" applyNumberFormat="1" applyFont="1" applyFill="1" applyBorder="1" applyAlignment="1" applyProtection="1">
      <alignment horizontal="center" vertical="center"/>
      <protection locked="0"/>
    </xf>
    <xf numFmtId="0" fontId="42" fillId="18" borderId="6" xfId="0" applyFont="1" applyFill="1" applyBorder="1" applyAlignment="1" applyProtection="1">
      <alignment horizontal="right" vertical="center"/>
      <protection locked="0"/>
    </xf>
    <xf numFmtId="171" fontId="45" fillId="25" borderId="5" xfId="0" applyNumberFormat="1" applyFont="1" applyFill="1" applyBorder="1" applyAlignment="1" applyProtection="1">
      <alignment horizontal="center" vertical="center"/>
      <protection locked="0"/>
    </xf>
    <xf numFmtId="0" fontId="26" fillId="18" borderId="6" xfId="0" applyFont="1" applyFill="1" applyBorder="1" applyAlignment="1" applyProtection="1">
      <alignment horizontal="right" vertical="center"/>
      <protection locked="0"/>
    </xf>
    <xf numFmtId="195" fontId="26" fillId="4" borderId="5" xfId="0" applyNumberFormat="1" applyFont="1" applyFill="1" applyBorder="1" applyAlignment="1" applyProtection="1">
      <alignment horizontal="center" vertical="center"/>
      <protection locked="0"/>
    </xf>
    <xf numFmtId="0" fontId="17" fillId="18" borderId="6" xfId="0" applyFont="1" applyFill="1" applyBorder="1" applyAlignment="1" applyProtection="1">
      <alignment horizontal="right" vertical="center"/>
      <protection locked="0"/>
    </xf>
    <xf numFmtId="2" fontId="17" fillId="18" borderId="5" xfId="0" applyNumberFormat="1" applyFont="1" applyFill="1" applyBorder="1" applyAlignment="1" applyProtection="1">
      <alignment horizontal="center" vertical="center"/>
      <protection locked="0"/>
    </xf>
    <xf numFmtId="0" fontId="17" fillId="18" borderId="150" xfId="0" applyFont="1" applyFill="1" applyBorder="1" applyAlignment="1" applyProtection="1">
      <alignment horizontal="right" vertical="center"/>
      <protection locked="0"/>
    </xf>
    <xf numFmtId="196" fontId="17" fillId="4" borderId="149" xfId="0" applyNumberFormat="1" applyFont="1" applyFill="1" applyBorder="1" applyAlignment="1" applyProtection="1">
      <alignment horizontal="center" vertical="center"/>
      <protection locked="0"/>
    </xf>
    <xf numFmtId="0" fontId="263" fillId="18" borderId="6" xfId="0" applyFont="1" applyFill="1" applyBorder="1" applyAlignment="1" applyProtection="1">
      <alignment horizontal="right" vertical="center"/>
      <protection locked="0"/>
    </xf>
    <xf numFmtId="185" fontId="98" fillId="25" borderId="5" xfId="0" applyNumberFormat="1" applyFont="1" applyFill="1" applyBorder="1" applyAlignment="1" applyProtection="1">
      <alignment horizontal="center" vertical="center"/>
      <protection locked="0"/>
    </xf>
    <xf numFmtId="0" fontId="264" fillId="18" borderId="6" xfId="0" applyFont="1" applyFill="1" applyBorder="1" applyAlignment="1" applyProtection="1">
      <alignment horizontal="right" vertical="center"/>
      <protection locked="0"/>
    </xf>
    <xf numFmtId="171" fontId="262" fillId="25" borderId="5" xfId="0" applyNumberFormat="1" applyFont="1" applyFill="1" applyBorder="1" applyAlignment="1" applyProtection="1">
      <alignment horizontal="center" vertical="center"/>
      <protection locked="0"/>
    </xf>
    <xf numFmtId="169" fontId="26" fillId="18" borderId="5" xfId="0" applyNumberFormat="1" applyFont="1" applyFill="1" applyBorder="1" applyAlignment="1" applyProtection="1">
      <alignment horizontal="center" vertical="center"/>
      <protection locked="0"/>
    </xf>
    <xf numFmtId="169" fontId="17" fillId="18" borderId="24" xfId="0" applyNumberFormat="1" applyFont="1" applyFill="1" applyBorder="1" applyAlignment="1" applyProtection="1">
      <alignment horizontal="center" vertical="center"/>
      <protection locked="0"/>
    </xf>
    <xf numFmtId="195" fontId="17" fillId="4" borderId="22" xfId="0" applyNumberFormat="1" applyFont="1" applyFill="1" applyBorder="1" applyAlignment="1" applyProtection="1">
      <alignment horizontal="center" vertical="center"/>
      <protection locked="0"/>
    </xf>
    <xf numFmtId="195" fontId="17" fillId="4" borderId="149" xfId="0" applyNumberFormat="1" applyFont="1" applyFill="1" applyBorder="1" applyAlignment="1" applyProtection="1">
      <alignment horizontal="center" vertical="center"/>
      <protection locked="0"/>
    </xf>
    <xf numFmtId="195" fontId="17" fillId="4" borderId="5" xfId="0" applyNumberFormat="1" applyFont="1" applyFill="1" applyBorder="1" applyAlignment="1" applyProtection="1">
      <alignment horizontal="center" vertical="center"/>
      <protection locked="0"/>
    </xf>
    <xf numFmtId="0" fontId="2" fillId="18" borderId="6" xfId="0" applyFont="1" applyFill="1" applyBorder="1" applyAlignment="1" applyProtection="1">
      <alignment horizontal="right" vertical="center"/>
      <protection locked="0"/>
    </xf>
    <xf numFmtId="171" fontId="265" fillId="25" borderId="5" xfId="0" applyNumberFormat="1" applyFont="1" applyFill="1" applyBorder="1" applyAlignment="1" applyProtection="1">
      <alignment horizontal="center" vertical="center"/>
      <protection locked="0"/>
    </xf>
    <xf numFmtId="169" fontId="26" fillId="18" borderId="150" xfId="0" applyNumberFormat="1" applyFont="1" applyFill="1" applyBorder="1" applyAlignment="1" applyProtection="1">
      <alignment horizontal="center" vertical="center"/>
      <protection locked="0"/>
    </xf>
    <xf numFmtId="2" fontId="17" fillId="18" borderId="150" xfId="0" applyNumberFormat="1" applyFont="1" applyFill="1" applyBorder="1" applyAlignment="1" applyProtection="1">
      <alignment horizontal="center" vertical="center"/>
      <protection locked="0"/>
    </xf>
    <xf numFmtId="0" fontId="266" fillId="18" borderId="6" xfId="0" applyFont="1" applyFill="1" applyBorder="1" applyAlignment="1" applyProtection="1">
      <alignment horizontal="right" vertical="center"/>
      <protection locked="0"/>
    </xf>
    <xf numFmtId="185" fontId="157" fillId="25" borderId="5" xfId="0" applyNumberFormat="1" applyFont="1" applyFill="1" applyBorder="1" applyAlignment="1" applyProtection="1">
      <alignment horizontal="center" vertical="center"/>
      <protection locked="0"/>
    </xf>
    <xf numFmtId="2" fontId="17" fillId="18" borderId="0" xfId="0" applyNumberFormat="1" applyFont="1" applyFill="1" applyBorder="1" applyAlignment="1" applyProtection="1">
      <alignment horizontal="center" vertical="center"/>
      <protection locked="0"/>
    </xf>
    <xf numFmtId="195" fontId="17" fillId="4" borderId="0" xfId="0" applyNumberFormat="1" applyFont="1" applyFill="1" applyBorder="1" applyAlignment="1" applyProtection="1">
      <alignment horizontal="center" vertical="center"/>
      <protection locked="0"/>
    </xf>
    <xf numFmtId="0" fontId="267" fillId="4" borderId="0" xfId="4" applyNumberFormat="1" applyFont="1" applyFill="1" applyBorder="1" applyAlignment="1">
      <alignment horizontal="center" vertical="center"/>
    </xf>
    <xf numFmtId="0" fontId="212" fillId="4" borderId="0" xfId="1" applyFont="1" applyFill="1" applyBorder="1" applyAlignment="1" applyProtection="1">
      <alignment horizontal="center" vertical="center" wrapText="1"/>
      <protection hidden="1"/>
    </xf>
    <xf numFmtId="0" fontId="268" fillId="4" borderId="0" xfId="1" applyFont="1" applyFill="1" applyBorder="1" applyAlignment="1" applyProtection="1">
      <alignment horizontal="center" vertical="center" wrapText="1"/>
      <protection hidden="1"/>
    </xf>
    <xf numFmtId="0" fontId="57" fillId="4" borderId="0" xfId="1" applyFont="1" applyFill="1" applyBorder="1" applyAlignment="1" applyProtection="1">
      <alignment horizontal="right" vertical="center"/>
      <protection hidden="1"/>
    </xf>
    <xf numFmtId="0" fontId="4" fillId="0" borderId="0" xfId="1" applyAlignment="1">
      <alignment horizontal="center"/>
    </xf>
    <xf numFmtId="3" fontId="212" fillId="4" borderId="0" xfId="3" applyNumberFormat="1" applyFont="1" applyFill="1" applyBorder="1" applyAlignment="1" applyProtection="1">
      <alignment horizontal="center" vertical="center"/>
      <protection locked="0"/>
    </xf>
    <xf numFmtId="199" fontId="268" fillId="4" borderId="0" xfId="3" applyNumberFormat="1" applyFont="1" applyFill="1" applyBorder="1" applyAlignment="1" applyProtection="1">
      <alignment horizontal="center" vertical="center"/>
      <protection locked="0"/>
    </xf>
    <xf numFmtId="164" fontId="57" fillId="4" borderId="0" xfId="1" applyNumberFormat="1" applyFont="1" applyFill="1" applyBorder="1" applyAlignment="1">
      <alignment horizontal="center" vertical="center"/>
    </xf>
    <xf numFmtId="0" fontId="269" fillId="4" borderId="0" xfId="4" applyNumberFormat="1" applyFont="1" applyFill="1" applyBorder="1" applyAlignment="1">
      <alignment horizontal="center" vertical="center"/>
    </xf>
    <xf numFmtId="0" fontId="4" fillId="0" borderId="0" xfId="1" applyBorder="1"/>
    <xf numFmtId="0" fontId="90" fillId="0" borderId="0" xfId="1" applyFont="1" applyAlignment="1">
      <alignment vertical="center"/>
    </xf>
    <xf numFmtId="0" fontId="44" fillId="0" borderId="0" xfId="1" applyFont="1" applyAlignment="1">
      <alignment vertical="center"/>
    </xf>
    <xf numFmtId="0" fontId="4" fillId="0" borderId="0" xfId="1" applyAlignment="1">
      <alignment vertical="center"/>
    </xf>
    <xf numFmtId="0" fontId="91" fillId="0" borderId="0" xfId="1" applyFont="1" applyAlignment="1">
      <alignment horizontal="center" vertical="center"/>
    </xf>
    <xf numFmtId="0" fontId="4" fillId="0" borderId="0" xfId="1" applyBorder="1" applyAlignment="1">
      <alignment vertical="center"/>
    </xf>
    <xf numFmtId="0" fontId="270" fillId="0" borderId="0" xfId="1" applyFont="1" applyAlignment="1">
      <alignment horizontal="left" vertical="center"/>
    </xf>
    <xf numFmtId="166" fontId="271" fillId="19" borderId="0" xfId="3" applyNumberFormat="1" applyFont="1" applyFill="1" applyBorder="1" applyAlignment="1">
      <alignment horizontal="center" vertical="center"/>
    </xf>
    <xf numFmtId="164" fontId="57" fillId="4" borderId="0" xfId="3" applyNumberFormat="1" applyFont="1" applyFill="1" applyBorder="1" applyAlignment="1">
      <alignment horizontal="center" vertical="center"/>
    </xf>
    <xf numFmtId="166" fontId="24" fillId="4" borderId="0" xfId="3" applyNumberFormat="1" applyFont="1" applyFill="1" applyBorder="1" applyAlignment="1">
      <alignment horizontal="center" vertical="center"/>
    </xf>
    <xf numFmtId="196" fontId="57" fillId="4" borderId="0" xfId="3" applyNumberFormat="1" applyFont="1" applyFill="1" applyBorder="1" applyAlignment="1">
      <alignment horizontal="center" vertical="center"/>
    </xf>
    <xf numFmtId="3" fontId="92" fillId="2" borderId="0" xfId="3" applyNumberFormat="1" applyFont="1" applyFill="1" applyBorder="1" applyAlignment="1" applyProtection="1">
      <alignment horizontal="center" vertical="center"/>
      <protection locked="0"/>
    </xf>
    <xf numFmtId="0" fontId="272" fillId="18" borderId="11" xfId="1" applyFont="1" applyFill="1" applyBorder="1" applyAlignment="1">
      <alignment horizontal="center" vertical="center"/>
    </xf>
    <xf numFmtId="0" fontId="17" fillId="4" borderId="161" xfId="1" applyFont="1" applyFill="1" applyBorder="1" applyAlignment="1" applyProtection="1">
      <alignment horizontal="center" vertical="center" wrapText="1"/>
      <protection hidden="1"/>
    </xf>
    <xf numFmtId="0" fontId="57" fillId="4" borderId="157" xfId="1" applyFont="1" applyFill="1" applyBorder="1" applyAlignment="1" applyProtection="1">
      <alignment horizontal="center" vertical="center"/>
      <protection hidden="1"/>
    </xf>
    <xf numFmtId="0" fontId="271" fillId="19" borderId="157" xfId="3" applyNumberFormat="1" applyFont="1" applyFill="1" applyBorder="1" applyAlignment="1">
      <alignment horizontal="center" vertical="center"/>
    </xf>
    <xf numFmtId="3" fontId="92" fillId="2" borderId="157" xfId="3" applyNumberFormat="1" applyFont="1" applyFill="1" applyBorder="1" applyAlignment="1" applyProtection="1">
      <alignment horizontal="center" vertical="center"/>
      <protection locked="0"/>
    </xf>
    <xf numFmtId="0" fontId="17" fillId="4" borderId="157" xfId="1" applyFont="1" applyFill="1" applyBorder="1" applyAlignment="1" applyProtection="1">
      <alignment horizontal="center" vertical="center" wrapText="1"/>
      <protection hidden="1"/>
    </xf>
    <xf numFmtId="0" fontId="4" fillId="22" borderId="0" xfId="1" applyFill="1"/>
    <xf numFmtId="200" fontId="273" fillId="13" borderId="0" xfId="3" applyNumberFormat="1" applyFont="1" applyFill="1" applyBorder="1" applyAlignment="1">
      <alignment horizontal="center" vertical="center"/>
    </xf>
    <xf numFmtId="0" fontId="17" fillId="0" borderId="0" xfId="1" applyFont="1" applyAlignment="1">
      <alignment horizontal="center" vertical="center"/>
    </xf>
    <xf numFmtId="0" fontId="36" fillId="0" borderId="0" xfId="1" applyFont="1" applyAlignment="1">
      <alignment vertical="center"/>
    </xf>
    <xf numFmtId="49" fontId="17" fillId="0" borderId="163" xfId="1" applyNumberFormat="1" applyFont="1" applyBorder="1" applyAlignment="1">
      <alignment horizontal="center" vertical="center" wrapText="1"/>
    </xf>
    <xf numFmtId="49" fontId="26" fillId="0" borderId="163" xfId="1" applyNumberFormat="1" applyFont="1" applyBorder="1" applyAlignment="1">
      <alignment horizontal="center" vertical="center" wrapText="1"/>
    </xf>
    <xf numFmtId="49" fontId="17" fillId="0" borderId="166" xfId="1" applyNumberFormat="1" applyFont="1" applyBorder="1" applyAlignment="1">
      <alignment horizontal="center" vertical="center" wrapText="1"/>
    </xf>
    <xf numFmtId="49" fontId="26" fillId="0" borderId="166" xfId="1" applyNumberFormat="1" applyFont="1" applyBorder="1" applyAlignment="1">
      <alignment horizontal="center" vertical="center" wrapText="1"/>
    </xf>
    <xf numFmtId="49" fontId="26" fillId="0" borderId="167" xfId="1" applyNumberFormat="1" applyFont="1" applyBorder="1" applyAlignment="1">
      <alignment horizontal="center" vertical="center" wrapText="1"/>
    </xf>
    <xf numFmtId="49" fontId="26" fillId="0" borderId="168" xfId="1" applyNumberFormat="1" applyFont="1" applyBorder="1" applyAlignment="1">
      <alignment horizontal="center" vertical="center" wrapText="1"/>
    </xf>
    <xf numFmtId="49" fontId="11" fillId="0" borderId="171" xfId="1" applyNumberFormat="1" applyFont="1" applyBorder="1" applyAlignment="1">
      <alignment vertical="center" wrapText="1"/>
    </xf>
    <xf numFmtId="49" fontId="17" fillId="0" borderId="171" xfId="1" applyNumberFormat="1" applyFont="1" applyBorder="1" applyAlignment="1">
      <alignment vertical="center" wrapText="1"/>
    </xf>
    <xf numFmtId="49" fontId="11" fillId="0" borderId="172" xfId="1" applyNumberFormat="1" applyFont="1" applyBorder="1" applyAlignment="1">
      <alignment vertical="center" wrapText="1"/>
    </xf>
    <xf numFmtId="49" fontId="17" fillId="0" borderId="162" xfId="1" applyNumberFormat="1" applyFont="1" applyBorder="1" applyAlignment="1">
      <alignment horizontal="center" vertical="center" wrapText="1"/>
    </xf>
    <xf numFmtId="49" fontId="26" fillId="0" borderId="162" xfId="1" applyNumberFormat="1" applyFont="1" applyBorder="1" applyAlignment="1">
      <alignment horizontal="center" vertical="center" wrapText="1"/>
    </xf>
    <xf numFmtId="49" fontId="26" fillId="0" borderId="173" xfId="1" applyNumberFormat="1" applyFont="1" applyBorder="1" applyAlignment="1">
      <alignment horizontal="center" vertical="center" wrapText="1"/>
    </xf>
    <xf numFmtId="166" fontId="271" fillId="20" borderId="0" xfId="3" applyNumberFormat="1" applyFont="1" applyFill="1" applyBorder="1" applyAlignment="1">
      <alignment horizontal="center" vertical="center"/>
    </xf>
    <xf numFmtId="3" fontId="169" fillId="2" borderId="0" xfId="3" applyNumberFormat="1" applyFont="1" applyFill="1" applyBorder="1" applyAlignment="1" applyProtection="1">
      <alignment horizontal="left" vertical="center"/>
      <protection locked="0"/>
    </xf>
    <xf numFmtId="0" fontId="36" fillId="4" borderId="0" xfId="1" applyFont="1" applyFill="1" applyAlignment="1">
      <alignment vertical="center"/>
    </xf>
    <xf numFmtId="0" fontId="26" fillId="4" borderId="0" xfId="1" applyFont="1" applyFill="1" applyAlignment="1">
      <alignment vertical="center"/>
    </xf>
    <xf numFmtId="0" fontId="26" fillId="4" borderId="0" xfId="1" applyFont="1" applyFill="1"/>
    <xf numFmtId="0" fontId="11" fillId="4" borderId="0" xfId="1" applyFont="1" applyFill="1" applyAlignment="1">
      <alignment vertical="center"/>
    </xf>
    <xf numFmtId="0" fontId="277" fillId="4" borderId="0" xfId="1" applyFont="1" applyFill="1" applyAlignment="1">
      <alignment vertical="center"/>
    </xf>
    <xf numFmtId="0" fontId="17" fillId="4" borderId="0" xfId="1" applyFont="1" applyFill="1" applyAlignment="1">
      <alignment vertical="center"/>
    </xf>
    <xf numFmtId="0" fontId="26" fillId="4" borderId="0" xfId="1" applyFont="1" applyFill="1" applyBorder="1" applyAlignment="1">
      <alignment vertical="center"/>
    </xf>
    <xf numFmtId="0" fontId="282" fillId="4" borderId="0" xfId="1" applyFont="1" applyFill="1" applyAlignment="1">
      <alignment vertical="center"/>
    </xf>
    <xf numFmtId="0" fontId="275" fillId="4" borderId="0" xfId="1" applyFont="1" applyFill="1" applyAlignment="1">
      <alignment vertical="center"/>
    </xf>
    <xf numFmtId="0" fontId="4" fillId="4" borderId="0" xfId="1" applyFill="1" applyBorder="1"/>
    <xf numFmtId="0" fontId="29" fillId="4" borderId="0" xfId="1" applyFont="1" applyFill="1" applyBorder="1"/>
    <xf numFmtId="0" fontId="12" fillId="37" borderId="0" xfId="1" applyFont="1" applyFill="1" applyAlignment="1">
      <alignment horizontal="left" vertical="center"/>
    </xf>
    <xf numFmtId="0" fontId="36" fillId="4" borderId="0" xfId="1" applyFont="1" applyFill="1" applyAlignment="1">
      <alignment horizontal="left"/>
    </xf>
    <xf numFmtId="0" fontId="27" fillId="4" borderId="0" xfId="5" applyFont="1" applyFill="1" applyAlignment="1" applyProtection="1">
      <alignment horizontal="left"/>
    </xf>
    <xf numFmtId="0" fontId="36" fillId="4" borderId="0" xfId="1" applyFont="1" applyFill="1" applyBorder="1" applyAlignment="1">
      <alignment horizontal="left"/>
    </xf>
    <xf numFmtId="0" fontId="27" fillId="4" borderId="0" xfId="5" applyFont="1" applyFill="1" applyAlignment="1" applyProtection="1">
      <alignment horizontal="left" vertical="center"/>
    </xf>
    <xf numFmtId="0" fontId="283" fillId="4" borderId="0" xfId="1" applyFont="1" applyFill="1" applyAlignment="1">
      <alignment horizontal="left" vertical="center"/>
    </xf>
    <xf numFmtId="0" fontId="27" fillId="4" borderId="0" xfId="5" applyFont="1" applyFill="1" applyAlignment="1">
      <alignment horizontal="left"/>
    </xf>
    <xf numFmtId="0" fontId="11" fillId="4" borderId="0" xfId="1" applyFont="1" applyFill="1" applyAlignment="1">
      <alignment horizontal="left" vertical="center"/>
    </xf>
    <xf numFmtId="0" fontId="27" fillId="4" borderId="0" xfId="5" applyFont="1" applyFill="1" applyAlignment="1">
      <alignment horizontal="left" vertical="center"/>
    </xf>
    <xf numFmtId="0" fontId="36" fillId="4" borderId="0" xfId="1" applyFont="1" applyFill="1" applyAlignment="1">
      <alignment horizontal="left" vertical="center"/>
    </xf>
    <xf numFmtId="0" fontId="36" fillId="4" borderId="0" xfId="1" applyFont="1" applyFill="1" applyBorder="1" applyAlignment="1">
      <alignment horizontal="left" vertical="center"/>
    </xf>
    <xf numFmtId="0" fontId="17" fillId="4" borderId="0" xfId="1" applyFont="1" applyFill="1" applyAlignment="1">
      <alignment horizontal="center" vertical="center"/>
    </xf>
    <xf numFmtId="0" fontId="26" fillId="4" borderId="0" xfId="1" applyFont="1" applyFill="1" applyAlignment="1">
      <alignment horizontal="center" vertical="center"/>
    </xf>
    <xf numFmtId="0" fontId="4" fillId="37" borderId="0" xfId="1" applyFill="1"/>
    <xf numFmtId="0" fontId="26" fillId="37" borderId="0" xfId="1" applyFont="1" applyFill="1" applyAlignment="1">
      <alignment vertical="center"/>
    </xf>
    <xf numFmtId="0" fontId="26" fillId="37" borderId="0" xfId="1" applyFont="1" applyFill="1"/>
    <xf numFmtId="0" fontId="3" fillId="0" borderId="0" xfId="0" applyFont="1" applyAlignment="1">
      <alignment horizontal="center" vertical="center"/>
    </xf>
    <xf numFmtId="0" fontId="78" fillId="4" borderId="0" xfId="8" applyFill="1" applyAlignment="1">
      <alignment horizontal="left" vertical="center"/>
    </xf>
    <xf numFmtId="14" fontId="0" fillId="4" borderId="0" xfId="0" applyNumberFormat="1" applyFill="1" applyAlignment="1">
      <alignment horizontal="center" vertical="center"/>
    </xf>
    <xf numFmtId="0" fontId="0" fillId="4" borderId="0" xfId="0" applyFill="1" applyAlignment="1">
      <alignment horizontal="right" vertical="center"/>
    </xf>
    <xf numFmtId="0" fontId="0" fillId="4" borderId="0" xfId="0" applyFill="1" applyAlignment="1"/>
    <xf numFmtId="0" fontId="235" fillId="0" borderId="0" xfId="0" applyFont="1"/>
    <xf numFmtId="0" fontId="235" fillId="4" borderId="0" xfId="2" applyFont="1" applyFill="1"/>
    <xf numFmtId="0" fontId="78" fillId="4" borderId="0" xfId="8" applyFill="1"/>
    <xf numFmtId="0" fontId="3" fillId="4" borderId="0" xfId="0" applyFont="1" applyFill="1" applyAlignment="1">
      <alignment horizontal="left" vertical="center"/>
    </xf>
    <xf numFmtId="198" fontId="207" fillId="4" borderId="1" xfId="1" applyNumberFormat="1" applyFont="1" applyFill="1" applyBorder="1" applyAlignment="1" applyProtection="1">
      <alignment horizontal="center" vertical="center"/>
      <protection hidden="1"/>
    </xf>
    <xf numFmtId="0" fontId="93" fillId="13" borderId="6" xfId="2" applyFont="1" applyFill="1" applyBorder="1" applyAlignment="1" applyProtection="1">
      <alignment horizontal="center" vertical="center"/>
      <protection locked="0"/>
    </xf>
    <xf numFmtId="164" fontId="285" fillId="84" borderId="0" xfId="3" applyNumberFormat="1" applyFont="1" applyFill="1" applyBorder="1" applyAlignment="1">
      <alignment horizontal="center" vertical="center"/>
    </xf>
    <xf numFmtId="0" fontId="17" fillId="4" borderId="0" xfId="1" applyFont="1" applyFill="1" applyBorder="1" applyAlignment="1" applyProtection="1">
      <alignment vertical="center"/>
      <protection hidden="1"/>
    </xf>
    <xf numFmtId="0" fontId="41" fillId="4" borderId="0" xfId="1" applyFont="1" applyFill="1" applyProtection="1">
      <protection hidden="1"/>
    </xf>
    <xf numFmtId="0" fontId="284" fillId="0" borderId="0" xfId="8" applyFont="1" applyAlignment="1">
      <alignment vertical="center"/>
    </xf>
    <xf numFmtId="0" fontId="286" fillId="0" borderId="0" xfId="1" applyFont="1" applyAlignment="1">
      <alignment vertical="center"/>
    </xf>
    <xf numFmtId="0" fontId="4" fillId="0" borderId="0" xfId="1" applyFont="1" applyAlignment="1">
      <alignment vertical="center"/>
    </xf>
    <xf numFmtId="0" fontId="4" fillId="0" borderId="0" xfId="1" applyFont="1" applyAlignment="1">
      <alignment horizontal="centerContinuous" vertical="center"/>
    </xf>
    <xf numFmtId="0" fontId="44" fillId="19" borderId="151" xfId="1" applyFont="1" applyFill="1" applyBorder="1" applyAlignment="1">
      <alignment horizontal="center" vertical="center" wrapText="1"/>
    </xf>
    <xf numFmtId="0" fontId="94" fillId="19" borderId="155" xfId="1" applyFont="1" applyFill="1" applyBorder="1" applyAlignment="1">
      <alignment horizontal="center" vertical="center" wrapText="1"/>
    </xf>
    <xf numFmtId="0" fontId="164" fillId="85" borderId="155" xfId="1" applyFont="1" applyFill="1" applyBorder="1" applyAlignment="1">
      <alignment horizontal="center" vertical="center" wrapText="1"/>
    </xf>
    <xf numFmtId="0" fontId="290" fillId="83" borderId="177" xfId="20" applyFont="1" applyFill="1" applyBorder="1" applyAlignment="1" applyProtection="1">
      <alignment horizontal="centerContinuous" vertical="center"/>
    </xf>
    <xf numFmtId="0" fontId="290" fillId="83" borderId="178" xfId="20" applyFont="1" applyFill="1" applyBorder="1" applyAlignment="1" applyProtection="1">
      <alignment horizontal="centerContinuous" vertical="center"/>
    </xf>
    <xf numFmtId="0" fontId="290" fillId="83" borderId="179" xfId="20" applyFont="1" applyFill="1" applyBorder="1" applyAlignment="1" applyProtection="1">
      <alignment horizontal="centerContinuous" vertical="center"/>
    </xf>
    <xf numFmtId="0" fontId="290" fillId="30" borderId="177" xfId="20" applyFont="1" applyFill="1" applyBorder="1" applyAlignment="1" applyProtection="1">
      <alignment horizontal="centerContinuous" vertical="center"/>
    </xf>
    <xf numFmtId="0" fontId="290" fillId="30" borderId="178" xfId="20" applyFont="1" applyFill="1" applyBorder="1" applyAlignment="1" applyProtection="1">
      <alignment horizontal="centerContinuous" vertical="center"/>
    </xf>
    <xf numFmtId="0" fontId="290" fillId="30" borderId="179" xfId="20" applyFont="1" applyFill="1" applyBorder="1" applyAlignment="1" applyProtection="1">
      <alignment horizontal="centerContinuous" vertical="center"/>
    </xf>
    <xf numFmtId="0" fontId="291" fillId="86" borderId="144" xfId="1" applyFont="1" applyFill="1" applyBorder="1" applyAlignment="1">
      <alignment horizontal="center" vertical="center"/>
    </xf>
    <xf numFmtId="0" fontId="292" fillId="86" borderId="0" xfId="1" quotePrefix="1" applyFont="1" applyFill="1" applyBorder="1" applyAlignment="1">
      <alignment horizontal="center" vertical="center"/>
    </xf>
    <xf numFmtId="0" fontId="293" fillId="85" borderId="0" xfId="1" applyNumberFormat="1" applyFont="1" applyFill="1" applyAlignment="1">
      <alignment horizontal="center" vertical="center"/>
    </xf>
    <xf numFmtId="0" fontId="186" fillId="0" borderId="0" xfId="1" applyFont="1" applyBorder="1" applyAlignment="1">
      <alignment horizontal="centerContinuous" vertical="center"/>
    </xf>
    <xf numFmtId="0" fontId="90" fillId="0" borderId="0" xfId="1" applyFont="1" applyBorder="1" applyAlignment="1">
      <alignment horizontal="centerContinuous" vertical="center"/>
    </xf>
    <xf numFmtId="0" fontId="90" fillId="0" borderId="180" xfId="1" applyFont="1" applyBorder="1" applyAlignment="1">
      <alignment horizontal="centerContinuous" vertical="center"/>
    </xf>
    <xf numFmtId="0" fontId="294" fillId="85" borderId="0" xfId="1" applyNumberFormat="1" applyFont="1" applyFill="1" applyAlignment="1">
      <alignment horizontal="center" vertical="center"/>
    </xf>
    <xf numFmtId="0" fontId="295" fillId="0" borderId="0" xfId="1" applyFont="1" applyBorder="1" applyAlignment="1">
      <alignment horizontal="centerContinuous" vertical="center" wrapText="1"/>
    </xf>
    <xf numFmtId="0" fontId="295" fillId="0" borderId="180" xfId="1" applyFont="1" applyBorder="1" applyAlignment="1">
      <alignment horizontal="centerContinuous" vertical="center" wrapText="1"/>
    </xf>
    <xf numFmtId="0" fontId="4" fillId="0" borderId="144" xfId="1" applyFont="1" applyBorder="1" applyAlignment="1">
      <alignment vertical="center"/>
    </xf>
    <xf numFmtId="0" fontId="4" fillId="0" borderId="0" xfId="1" applyFont="1" applyBorder="1" applyAlignment="1">
      <alignment vertical="center"/>
    </xf>
    <xf numFmtId="0" fontId="4" fillId="0" borderId="180" xfId="1" applyFont="1" applyBorder="1" applyAlignment="1">
      <alignment vertical="center"/>
    </xf>
    <xf numFmtId="0" fontId="91" fillId="0" borderId="144" xfId="1" applyFont="1" applyBorder="1" applyAlignment="1">
      <alignment horizontal="center" vertical="center"/>
    </xf>
    <xf numFmtId="0" fontId="91" fillId="0" borderId="182" xfId="1" applyFont="1" applyBorder="1" applyAlignment="1">
      <alignment horizontal="center" vertical="center"/>
    </xf>
    <xf numFmtId="0" fontId="90" fillId="0" borderId="144" xfId="1" applyFont="1" applyBorder="1" applyAlignment="1">
      <alignment horizontal="center" vertical="center"/>
    </xf>
    <xf numFmtId="0" fontId="69" fillId="0" borderId="0" xfId="1" quotePrefix="1" applyFont="1" applyBorder="1" applyAlignment="1">
      <alignment horizontal="center" vertical="center"/>
    </xf>
    <xf numFmtId="0" fontId="297" fillId="0" borderId="0" xfId="1" applyNumberFormat="1" applyFont="1" applyAlignment="1">
      <alignment horizontal="center" vertical="center"/>
    </xf>
    <xf numFmtId="0" fontId="90" fillId="0" borderId="182" xfId="1" applyFont="1" applyBorder="1" applyAlignment="1">
      <alignment horizontal="center" vertical="center"/>
    </xf>
    <xf numFmtId="0" fontId="297" fillId="0" borderId="181" xfId="1" applyNumberFormat="1" applyFont="1" applyBorder="1" applyAlignment="1">
      <alignment horizontal="center" vertical="center"/>
    </xf>
    <xf numFmtId="0" fontId="90" fillId="0" borderId="0" xfId="1" applyFont="1" applyBorder="1" applyAlignment="1">
      <alignment horizontal="center" vertical="center"/>
    </xf>
    <xf numFmtId="0" fontId="297" fillId="0" borderId="180" xfId="1" applyNumberFormat="1" applyFont="1" applyBorder="1" applyAlignment="1">
      <alignment horizontal="center" vertical="center"/>
    </xf>
    <xf numFmtId="0" fontId="298" fillId="0" borderId="0" xfId="1" applyNumberFormat="1" applyFont="1" applyAlignment="1">
      <alignment horizontal="center" vertical="center"/>
    </xf>
    <xf numFmtId="0" fontId="298" fillId="0" borderId="181" xfId="1" applyNumberFormat="1" applyFont="1" applyBorder="1" applyAlignment="1">
      <alignment horizontal="center" vertical="center"/>
    </xf>
    <xf numFmtId="0" fontId="298" fillId="0" borderId="180" xfId="1" applyNumberFormat="1" applyFont="1" applyBorder="1" applyAlignment="1">
      <alignment horizontal="center" vertical="center"/>
    </xf>
    <xf numFmtId="0" fontId="302" fillId="4" borderId="6" xfId="1" applyFont="1" applyFill="1" applyBorder="1" applyAlignment="1">
      <alignment vertical="center"/>
    </xf>
    <xf numFmtId="201" fontId="303" fillId="37" borderId="0" xfId="1" applyNumberFormat="1" applyFont="1" applyFill="1" applyBorder="1" applyAlignment="1">
      <alignment vertical="center"/>
    </xf>
    <xf numFmtId="0" fontId="90" fillId="4" borderId="0" xfId="1" applyFont="1" applyFill="1" applyBorder="1"/>
    <xf numFmtId="0" fontId="308" fillId="4" borderId="6" xfId="1" applyFont="1" applyFill="1" applyBorder="1"/>
    <xf numFmtId="0" fontId="304" fillId="4" borderId="0" xfId="1" applyFont="1" applyFill="1" applyBorder="1" applyAlignment="1">
      <alignment vertical="center" wrapText="1"/>
    </xf>
    <xf numFmtId="0" fontId="302" fillId="4" borderId="0" xfId="1" applyFont="1" applyFill="1" applyBorder="1" applyAlignment="1">
      <alignment horizontal="right" vertical="center"/>
    </xf>
    <xf numFmtId="0" fontId="25" fillId="4" borderId="0" xfId="1" applyFont="1" applyFill="1" applyBorder="1" applyAlignment="1">
      <alignment horizontal="center" vertical="center"/>
    </xf>
    <xf numFmtId="0" fontId="25" fillId="4" borderId="5" xfId="1" applyFont="1" applyFill="1" applyBorder="1" applyAlignment="1">
      <alignment horizontal="center" vertical="center"/>
    </xf>
    <xf numFmtId="0" fontId="309" fillId="4" borderId="0" xfId="1" applyFont="1" applyFill="1" applyBorder="1" applyAlignment="1">
      <alignment horizontal="center" vertical="center"/>
    </xf>
    <xf numFmtId="0" fontId="310" fillId="87" borderId="0" xfId="1" applyFont="1" applyFill="1" applyBorder="1" applyAlignment="1">
      <alignment horizontal="center" vertical="center"/>
    </xf>
    <xf numFmtId="0" fontId="311" fillId="7" borderId="5" xfId="1" applyFont="1" applyFill="1" applyBorder="1" applyAlignment="1">
      <alignment horizontal="center" vertical="center"/>
    </xf>
    <xf numFmtId="0" fontId="309" fillId="4" borderId="6" xfId="1" applyFont="1" applyFill="1" applyBorder="1" applyAlignment="1">
      <alignment horizontal="center" vertical="center"/>
    </xf>
    <xf numFmtId="0" fontId="4" fillId="4" borderId="6" xfId="1" applyFill="1" applyBorder="1"/>
    <xf numFmtId="0" fontId="29" fillId="4" borderId="0" xfId="3" applyFont="1" applyFill="1" applyBorder="1" applyAlignment="1">
      <alignment horizontal="right" vertical="center"/>
    </xf>
    <xf numFmtId="202" fontId="127" fillId="88" borderId="0" xfId="3" applyNumberFormat="1" applyFont="1" applyFill="1" applyBorder="1" applyAlignment="1" applyProtection="1">
      <alignment horizontal="center" vertical="center"/>
    </xf>
    <xf numFmtId="0" fontId="311" fillId="7" borderId="0" xfId="1" applyFont="1" applyFill="1" applyBorder="1" applyAlignment="1">
      <alignment horizontal="center" vertical="center"/>
    </xf>
    <xf numFmtId="0" fontId="313" fillId="4" borderId="0" xfId="1" applyFont="1" applyFill="1" applyBorder="1" applyAlignment="1">
      <alignment vertical="center"/>
    </xf>
    <xf numFmtId="0" fontId="29" fillId="4" borderId="5" xfId="1" applyFont="1" applyFill="1" applyBorder="1"/>
    <xf numFmtId="0" fontId="4" fillId="4" borderId="150" xfId="1" applyFill="1" applyBorder="1"/>
    <xf numFmtId="0" fontId="4" fillId="4" borderId="1" xfId="1" applyFill="1" applyBorder="1"/>
    <xf numFmtId="0" fontId="4" fillId="4" borderId="149" xfId="1" applyFill="1" applyBorder="1"/>
    <xf numFmtId="0" fontId="314" fillId="0" borderId="0" xfId="1" applyNumberFormat="1" applyFont="1" applyAlignment="1">
      <alignment horizontal="center" vertical="center"/>
    </xf>
    <xf numFmtId="0" fontId="160" fillId="4" borderId="0" xfId="1" applyFont="1" applyFill="1" applyBorder="1" applyAlignment="1" applyProtection="1">
      <alignment horizontal="left" vertical="center"/>
      <protection locked="0"/>
    </xf>
    <xf numFmtId="0" fontId="77" fillId="4" borderId="0" xfId="1" applyFont="1" applyFill="1" applyBorder="1" applyAlignment="1" applyProtection="1">
      <alignment horizontal="left" vertical="center"/>
      <protection locked="0"/>
    </xf>
    <xf numFmtId="0" fontId="301" fillId="0" borderId="0" xfId="1" applyFont="1" applyAlignment="1">
      <alignment vertical="center"/>
    </xf>
    <xf numFmtId="0" fontId="316" fillId="0" borderId="0" xfId="1" applyFont="1" applyBorder="1" applyAlignment="1">
      <alignment horizontal="center" vertical="center"/>
    </xf>
    <xf numFmtId="0" fontId="317" fillId="0" borderId="0" xfId="1" applyFont="1" applyBorder="1" applyAlignment="1">
      <alignment horizontal="center" vertical="center"/>
    </xf>
    <xf numFmtId="0" fontId="90" fillId="0" borderId="156" xfId="1" applyFont="1" applyBorder="1" applyAlignment="1">
      <alignment vertical="center"/>
    </xf>
    <xf numFmtId="0" fontId="90" fillId="0" borderId="4" xfId="1" applyFont="1" applyBorder="1" applyAlignment="1">
      <alignment vertical="center"/>
    </xf>
    <xf numFmtId="0" fontId="90" fillId="0" borderId="184" xfId="1" applyFont="1" applyBorder="1" applyAlignment="1">
      <alignment vertical="center"/>
    </xf>
    <xf numFmtId="0" fontId="90" fillId="54" borderId="0" xfId="1" applyFont="1" applyFill="1" applyAlignment="1">
      <alignment vertical="center"/>
    </xf>
    <xf numFmtId="0" fontId="318" fillId="82" borderId="177" xfId="20" applyFont="1" applyFill="1" applyBorder="1" applyAlignment="1" applyProtection="1">
      <alignment horizontal="centerContinuous" vertical="center"/>
    </xf>
    <xf numFmtId="0" fontId="318" fillId="82" borderId="178" xfId="20" applyFont="1" applyFill="1" applyBorder="1" applyAlignment="1" applyProtection="1">
      <alignment horizontal="centerContinuous" vertical="center"/>
    </xf>
    <xf numFmtId="0" fontId="318" fillId="82" borderId="179" xfId="20" applyFont="1" applyFill="1" applyBorder="1" applyAlignment="1" applyProtection="1">
      <alignment horizontal="centerContinuous" vertical="center"/>
    </xf>
    <xf numFmtId="0" fontId="318" fillId="53" borderId="177" xfId="20" applyFont="1" applyFill="1" applyBorder="1" applyAlignment="1" applyProtection="1">
      <alignment horizontal="centerContinuous" vertical="center"/>
    </xf>
    <xf numFmtId="0" fontId="318" fillId="53" borderId="178" xfId="20" applyFont="1" applyFill="1" applyBorder="1" applyAlignment="1" applyProtection="1">
      <alignment horizontal="centerContinuous" vertical="center"/>
    </xf>
    <xf numFmtId="0" fontId="318" fillId="53" borderId="179" xfId="20" applyFont="1" applyFill="1" applyBorder="1" applyAlignment="1" applyProtection="1">
      <alignment horizontal="centerContinuous" vertical="center"/>
    </xf>
    <xf numFmtId="0" fontId="319" fillId="85" borderId="0" xfId="1" applyFont="1" applyFill="1" applyBorder="1" applyAlignment="1">
      <alignment horizontal="center" vertical="center"/>
    </xf>
    <xf numFmtId="0" fontId="186" fillId="0" borderId="0" xfId="1" applyFont="1" applyBorder="1" applyAlignment="1">
      <alignment horizontal="centerContinuous" vertical="center" wrapText="1"/>
    </xf>
    <xf numFmtId="0" fontId="90" fillId="0" borderId="0" xfId="1" applyFont="1" applyBorder="1" applyAlignment="1">
      <alignment horizontal="centerContinuous" vertical="center" wrapText="1"/>
    </xf>
    <xf numFmtId="0" fontId="90" fillId="0" borderId="180" xfId="1" applyFont="1" applyBorder="1" applyAlignment="1">
      <alignment horizontal="centerContinuous" vertical="center" wrapText="1"/>
    </xf>
    <xf numFmtId="0" fontId="320" fillId="85" borderId="0" xfId="1" applyNumberFormat="1" applyFont="1" applyFill="1" applyAlignment="1">
      <alignment horizontal="center" vertical="center"/>
    </xf>
    <xf numFmtId="0" fontId="321" fillId="0" borderId="0" xfId="1" applyFont="1" applyBorder="1" applyAlignment="1">
      <alignment horizontal="center" vertical="center"/>
    </xf>
    <xf numFmtId="0" fontId="321" fillId="0" borderId="181" xfId="1" applyFont="1" applyBorder="1" applyAlignment="1">
      <alignment horizontal="center" vertical="center"/>
    </xf>
    <xf numFmtId="0" fontId="321" fillId="0" borderId="180" xfId="1" applyFont="1" applyBorder="1" applyAlignment="1">
      <alignment horizontal="center" vertical="center"/>
    </xf>
    <xf numFmtId="0" fontId="322" fillId="0" borderId="0" xfId="1" applyNumberFormat="1" applyFont="1" applyAlignment="1">
      <alignment horizontal="center" vertical="center"/>
    </xf>
    <xf numFmtId="0" fontId="322" fillId="0" borderId="181" xfId="1" applyNumberFormat="1" applyFont="1" applyBorder="1" applyAlignment="1">
      <alignment horizontal="center" vertical="center"/>
    </xf>
    <xf numFmtId="0" fontId="322" fillId="0" borderId="180" xfId="1" applyNumberFormat="1" applyFont="1" applyBorder="1" applyAlignment="1">
      <alignment horizontal="center" vertical="center"/>
    </xf>
    <xf numFmtId="0" fontId="4" fillId="0" borderId="156" xfId="1" applyFont="1" applyBorder="1" applyAlignment="1">
      <alignment vertical="center"/>
    </xf>
    <xf numFmtId="0" fontId="4" fillId="0" borderId="4" xfId="1" applyFont="1" applyBorder="1" applyAlignment="1">
      <alignment vertical="center"/>
    </xf>
    <xf numFmtId="0" fontId="4" fillId="0" borderId="184" xfId="1" applyFont="1" applyBorder="1" applyAlignment="1">
      <alignment vertical="center"/>
    </xf>
    <xf numFmtId="0" fontId="44" fillId="54" borderId="0" xfId="1" applyFont="1" applyFill="1" applyAlignment="1">
      <alignment vertical="center"/>
    </xf>
    <xf numFmtId="0" fontId="318" fillId="78" borderId="177" xfId="20" applyFont="1" applyFill="1" applyBorder="1" applyAlignment="1" applyProtection="1">
      <alignment horizontal="centerContinuous" vertical="center"/>
    </xf>
    <xf numFmtId="0" fontId="318" fillId="78" borderId="178" xfId="20" applyFont="1" applyFill="1" applyBorder="1" applyAlignment="1" applyProtection="1">
      <alignment horizontal="centerContinuous" vertical="center"/>
    </xf>
    <xf numFmtId="0" fontId="318" fillId="78" borderId="179" xfId="20" applyFont="1" applyFill="1" applyBorder="1" applyAlignment="1" applyProtection="1">
      <alignment horizontal="centerContinuous" vertical="center"/>
    </xf>
    <xf numFmtId="0" fontId="323" fillId="85" borderId="0" xfId="1" applyNumberFormat="1" applyFont="1" applyFill="1" applyAlignment="1">
      <alignment horizontal="center" vertical="center"/>
    </xf>
    <xf numFmtId="0" fontId="99" fillId="0" borderId="0" xfId="1" applyFont="1" applyBorder="1" applyAlignment="1">
      <alignment horizontal="centerContinuous" vertical="center" wrapText="1"/>
    </xf>
    <xf numFmtId="0" fontId="4" fillId="0" borderId="0" xfId="1" applyFont="1" applyBorder="1" applyAlignment="1">
      <alignment horizontal="centerContinuous" vertical="center" wrapText="1"/>
    </xf>
    <xf numFmtId="0" fontId="4" fillId="0" borderId="180" xfId="1" applyFont="1" applyBorder="1" applyAlignment="1">
      <alignment horizontal="centerContinuous" vertical="center" wrapText="1"/>
    </xf>
    <xf numFmtId="0" fontId="324" fillId="85" borderId="0" xfId="1" applyNumberFormat="1" applyFont="1" applyFill="1" applyAlignment="1">
      <alignment horizontal="center" vertical="center"/>
    </xf>
    <xf numFmtId="0" fontId="325" fillId="0" borderId="0" xfId="1" applyNumberFormat="1" applyFont="1" applyAlignment="1">
      <alignment horizontal="center" vertical="center"/>
    </xf>
    <xf numFmtId="0" fontId="325" fillId="0" borderId="181" xfId="1" applyNumberFormat="1" applyFont="1" applyBorder="1" applyAlignment="1">
      <alignment horizontal="center" vertical="center"/>
    </xf>
    <xf numFmtId="0" fontId="325" fillId="0" borderId="180" xfId="1" applyNumberFormat="1" applyFont="1" applyBorder="1" applyAlignment="1">
      <alignment horizontal="center" vertical="center"/>
    </xf>
    <xf numFmtId="0" fontId="326" fillId="0" borderId="0" xfId="1" applyNumberFormat="1" applyFont="1" applyAlignment="1">
      <alignment horizontal="center" vertical="center"/>
    </xf>
    <xf numFmtId="0" fontId="326" fillId="0" borderId="181" xfId="1" applyNumberFormat="1" applyFont="1" applyBorder="1" applyAlignment="1">
      <alignment horizontal="center" vertical="center"/>
    </xf>
    <xf numFmtId="0" fontId="326" fillId="0" borderId="180" xfId="1" applyNumberFormat="1" applyFont="1" applyBorder="1" applyAlignment="1">
      <alignment horizontal="center" vertical="center"/>
    </xf>
    <xf numFmtId="0" fontId="44" fillId="0" borderId="156" xfId="1" applyFont="1" applyBorder="1" applyAlignment="1">
      <alignment vertical="center"/>
    </xf>
    <xf numFmtId="0" fontId="44" fillId="0" borderId="4" xfId="1" applyFont="1" applyBorder="1" applyAlignment="1">
      <alignment vertical="center"/>
    </xf>
    <xf numFmtId="0" fontId="327" fillId="0" borderId="184" xfId="1" applyNumberFormat="1" applyFont="1" applyBorder="1" applyAlignment="1">
      <alignment horizontal="center" vertical="center"/>
    </xf>
    <xf numFmtId="0" fontId="4" fillId="54" borderId="0" xfId="1" applyFont="1" applyFill="1" applyAlignment="1">
      <alignment vertical="center"/>
    </xf>
    <xf numFmtId="0" fontId="44" fillId="0" borderId="184" xfId="1" applyFont="1" applyBorder="1" applyAlignment="1">
      <alignment vertical="center"/>
    </xf>
    <xf numFmtId="0" fontId="290" fillId="42" borderId="177" xfId="20" applyFont="1" applyFill="1" applyBorder="1" applyAlignment="1" applyProtection="1">
      <alignment horizontal="centerContinuous" vertical="center"/>
    </xf>
    <xf numFmtId="0" fontId="290" fillId="42" borderId="178" xfId="20" applyFont="1" applyFill="1" applyBorder="1" applyAlignment="1" applyProtection="1">
      <alignment horizontal="centerContinuous" vertical="center"/>
    </xf>
    <xf numFmtId="0" fontId="290" fillId="42" borderId="179" xfId="20" applyFont="1" applyFill="1" applyBorder="1" applyAlignment="1" applyProtection="1">
      <alignment horizontal="centerContinuous" vertical="center"/>
    </xf>
    <xf numFmtId="0" fontId="328" fillId="85" borderId="0" xfId="1" applyNumberFormat="1" applyFont="1" applyFill="1" applyAlignment="1">
      <alignment horizontal="center" vertical="center"/>
    </xf>
    <xf numFmtId="0" fontId="329" fillId="85" borderId="0" xfId="1" applyNumberFormat="1" applyFont="1" applyFill="1" applyAlignment="1">
      <alignment horizontal="center" vertical="center"/>
    </xf>
    <xf numFmtId="0" fontId="330" fillId="0" borderId="0" xfId="1" applyNumberFormat="1" applyFont="1" applyAlignment="1">
      <alignment horizontal="center" vertical="center"/>
    </xf>
    <xf numFmtId="0" fontId="331" fillId="0" borderId="181" xfId="1" applyNumberFormat="1" applyFont="1" applyBorder="1" applyAlignment="1">
      <alignment horizontal="center" vertical="center"/>
    </xf>
    <xf numFmtId="0" fontId="331" fillId="0" borderId="0" xfId="1" applyNumberFormat="1" applyFont="1" applyAlignment="1">
      <alignment horizontal="center" vertical="center"/>
    </xf>
    <xf numFmtId="0" fontId="331" fillId="0" borderId="180" xfId="1" applyNumberFormat="1" applyFont="1" applyBorder="1" applyAlignment="1">
      <alignment horizontal="center" vertical="center"/>
    </xf>
    <xf numFmtId="0" fontId="332" fillId="0" borderId="0" xfId="1" applyNumberFormat="1" applyFont="1" applyAlignment="1">
      <alignment horizontal="center" vertical="center"/>
    </xf>
    <xf numFmtId="0" fontId="332" fillId="0" borderId="181" xfId="1" applyNumberFormat="1" applyFont="1" applyBorder="1" applyAlignment="1">
      <alignment horizontal="center" vertical="center"/>
    </xf>
    <xf numFmtId="0" fontId="332" fillId="0" borderId="180" xfId="1" applyNumberFormat="1" applyFont="1" applyBorder="1" applyAlignment="1">
      <alignment horizontal="center" vertical="center"/>
    </xf>
    <xf numFmtId="0" fontId="186" fillId="4" borderId="0" xfId="1" applyFont="1" applyFill="1" applyBorder="1" applyAlignment="1">
      <alignment horizontal="centerContinuous" vertical="center" wrapText="1"/>
    </xf>
    <xf numFmtId="2" fontId="74" fillId="7" borderId="0" xfId="2" applyNumberFormat="1" applyFont="1" applyFill="1" applyAlignment="1">
      <alignment horizontal="center"/>
    </xf>
    <xf numFmtId="0" fontId="0" fillId="13" borderId="0" xfId="0" applyFill="1"/>
    <xf numFmtId="0" fontId="174" fillId="4" borderId="0" xfId="10" applyFont="1" applyFill="1" applyAlignment="1" applyProtection="1">
      <alignment vertical="center"/>
      <protection hidden="1"/>
    </xf>
    <xf numFmtId="0" fontId="278" fillId="4" borderId="0" xfId="1" applyFont="1" applyFill="1" applyAlignment="1" applyProtection="1">
      <alignment vertical="center"/>
      <protection hidden="1"/>
    </xf>
    <xf numFmtId="0" fontId="333" fillId="4" borderId="0" xfId="10" applyFont="1" applyFill="1" applyAlignment="1" applyProtection="1">
      <alignment vertical="center"/>
      <protection hidden="1"/>
    </xf>
    <xf numFmtId="0" fontId="25" fillId="4" borderId="0" xfId="1" applyFont="1" applyFill="1" applyAlignment="1" applyProtection="1">
      <alignment vertical="center"/>
      <protection hidden="1"/>
    </xf>
    <xf numFmtId="0" fontId="174" fillId="4" borderId="0" xfId="11" applyFont="1" applyFill="1" applyAlignment="1" applyProtection="1">
      <alignment vertical="center"/>
      <protection hidden="1"/>
    </xf>
    <xf numFmtId="0" fontId="333" fillId="4" borderId="0" xfId="11" applyFont="1" applyFill="1" applyAlignment="1" applyProtection="1">
      <alignment vertical="center"/>
      <protection hidden="1"/>
    </xf>
    <xf numFmtId="0" fontId="160" fillId="0" borderId="0" xfId="0" applyFont="1" applyAlignment="1"/>
    <xf numFmtId="0" fontId="13" fillId="20" borderId="0" xfId="1" applyFont="1" applyFill="1" applyBorder="1" applyAlignment="1">
      <alignment horizontal="center" vertical="center"/>
    </xf>
    <xf numFmtId="0" fontId="17" fillId="11" borderId="0" xfId="0" applyNumberFormat="1" applyFont="1" applyFill="1" applyBorder="1" applyAlignment="1" applyProtection="1">
      <alignment horizontal="left" vertical="center"/>
      <protection locked="0"/>
    </xf>
    <xf numFmtId="0" fontId="168" fillId="4" borderId="0" xfId="1" applyFont="1" applyFill="1" applyBorder="1" applyAlignment="1">
      <alignment horizontal="left" vertical="center"/>
    </xf>
    <xf numFmtId="0" fontId="239" fillId="23" borderId="0" xfId="1" applyFont="1" applyFill="1" applyBorder="1" applyAlignment="1" applyProtection="1">
      <alignment horizontal="center" vertical="center" wrapText="1"/>
      <protection hidden="1"/>
    </xf>
    <xf numFmtId="0" fontId="42" fillId="4" borderId="0" xfId="0" applyFont="1" applyFill="1" applyBorder="1" applyAlignment="1">
      <alignment horizontal="left" vertical="center" wrapText="1"/>
    </xf>
    <xf numFmtId="0" fontId="239" fillId="4" borderId="0" xfId="1" applyFont="1" applyFill="1" applyBorder="1" applyAlignment="1" applyProtection="1">
      <alignment horizontal="center" vertical="center"/>
      <protection hidden="1"/>
    </xf>
    <xf numFmtId="0" fontId="13" fillId="4" borderId="0" xfId="1" applyFont="1" applyFill="1" applyBorder="1" applyAlignment="1">
      <alignment horizontal="center" vertical="center"/>
    </xf>
    <xf numFmtId="0" fontId="17" fillId="4" borderId="0" xfId="0" applyNumberFormat="1" applyFont="1" applyFill="1" applyBorder="1" applyAlignment="1" applyProtection="1">
      <alignment horizontal="left" vertical="center"/>
      <protection locked="0"/>
    </xf>
    <xf numFmtId="0" fontId="42" fillId="4" borderId="6" xfId="0" applyFont="1" applyFill="1" applyBorder="1" applyAlignment="1">
      <alignment horizontal="left" vertical="center" wrapText="1"/>
    </xf>
    <xf numFmtId="0" fontId="8" fillId="20" borderId="6" xfId="1" applyFont="1" applyFill="1" applyBorder="1" applyAlignment="1">
      <alignment horizontal="left" vertical="center"/>
    </xf>
    <xf numFmtId="0" fontId="8" fillId="4" borderId="6" xfId="1" applyFont="1" applyFill="1" applyBorder="1" applyAlignment="1">
      <alignment horizontal="left" vertical="center"/>
    </xf>
    <xf numFmtId="0" fontId="336" fillId="6" borderId="6" xfId="1" applyFont="1" applyFill="1" applyBorder="1" applyAlignment="1">
      <alignment vertical="center"/>
    </xf>
    <xf numFmtId="0" fontId="336" fillId="6" borderId="0" xfId="1" applyFont="1" applyFill="1" applyBorder="1" applyAlignment="1">
      <alignment vertical="center"/>
    </xf>
    <xf numFmtId="0" fontId="337" fillId="4" borderId="6" xfId="0" applyFont="1" applyFill="1" applyBorder="1" applyAlignment="1">
      <alignment vertical="center"/>
    </xf>
    <xf numFmtId="0" fontId="93" fillId="4" borderId="5" xfId="0" applyFont="1" applyFill="1" applyBorder="1"/>
    <xf numFmtId="0" fontId="17" fillId="11" borderId="6" xfId="0" applyNumberFormat="1" applyFont="1" applyFill="1" applyBorder="1" applyAlignment="1" applyProtection="1">
      <alignment horizontal="left" vertical="center"/>
      <protection locked="0"/>
    </xf>
    <xf numFmtId="0" fontId="17" fillId="4" borderId="6" xfId="0" applyNumberFormat="1" applyFont="1" applyFill="1" applyBorder="1" applyAlignment="1" applyProtection="1">
      <alignment horizontal="left" vertical="center"/>
      <protection locked="0"/>
    </xf>
    <xf numFmtId="0" fontId="168" fillId="4" borderId="6" xfId="1" applyFont="1" applyFill="1" applyBorder="1" applyAlignment="1">
      <alignment horizontal="left" vertical="center"/>
    </xf>
    <xf numFmtId="0" fontId="93" fillId="0" borderId="6" xfId="0" applyFont="1" applyBorder="1"/>
    <xf numFmtId="0" fontId="93" fillId="4" borderId="6" xfId="0" applyFont="1" applyFill="1" applyBorder="1"/>
    <xf numFmtId="0" fontId="66" fillId="2" borderId="5" xfId="0" applyFont="1" applyFill="1" applyBorder="1" applyAlignment="1">
      <alignment horizontal="left" vertical="center"/>
    </xf>
    <xf numFmtId="0" fontId="239" fillId="23" borderId="0" xfId="1" applyFont="1" applyFill="1" applyBorder="1" applyAlignment="1" applyProtection="1">
      <alignment horizontal="left" vertical="center"/>
      <protection hidden="1"/>
    </xf>
    <xf numFmtId="0" fontId="160" fillId="0" borderId="0" xfId="0" applyFont="1" applyAlignment="1">
      <alignment horizontal="right" vertical="center"/>
    </xf>
    <xf numFmtId="0" fontId="260" fillId="77" borderId="0" xfId="0" applyFont="1" applyFill="1" applyBorder="1" applyAlignment="1">
      <alignment vertical="center"/>
    </xf>
    <xf numFmtId="0" fontId="231" fillId="23" borderId="18" xfId="1" applyFont="1" applyFill="1" applyBorder="1" applyAlignment="1" applyProtection="1">
      <alignment horizontal="center" vertical="center"/>
      <protection hidden="1"/>
    </xf>
    <xf numFmtId="0" fontId="340" fillId="26" borderId="6" xfId="0" applyFont="1" applyFill="1" applyBorder="1" applyAlignment="1">
      <alignment horizontal="center" vertical="center"/>
    </xf>
    <xf numFmtId="166" fontId="53" fillId="8" borderId="144" xfId="3" applyNumberFormat="1" applyFont="1" applyFill="1" applyBorder="1" applyAlignment="1">
      <alignment horizontal="left" vertical="center"/>
    </xf>
    <xf numFmtId="1" fontId="339" fillId="4" borderId="154" xfId="3" applyNumberFormat="1" applyFont="1" applyFill="1" applyBorder="1" applyAlignment="1">
      <alignment horizontal="center" vertical="center"/>
    </xf>
    <xf numFmtId="0" fontId="70" fillId="77" borderId="5" xfId="0" applyFont="1" applyFill="1" applyBorder="1" applyAlignment="1">
      <alignment horizontal="right" vertical="center"/>
    </xf>
    <xf numFmtId="0" fontId="70" fillId="77" borderId="185" xfId="0" applyFont="1" applyFill="1" applyBorder="1" applyAlignment="1">
      <alignment horizontal="right" vertical="center"/>
    </xf>
    <xf numFmtId="0" fontId="70" fillId="77" borderId="189" xfId="0" applyFont="1" applyFill="1" applyBorder="1" applyAlignment="1">
      <alignment horizontal="center" vertical="center"/>
    </xf>
    <xf numFmtId="0" fontId="52" fillId="4" borderId="6" xfId="0" applyFont="1" applyFill="1" applyBorder="1" applyAlignment="1">
      <alignment horizontal="left"/>
    </xf>
    <xf numFmtId="0" fontId="235" fillId="4" borderId="0" xfId="0" applyFont="1" applyFill="1" applyBorder="1" applyAlignment="1">
      <alignment vertical="center"/>
    </xf>
    <xf numFmtId="0" fontId="3" fillId="4" borderId="0" xfId="0" applyFont="1" applyFill="1" applyBorder="1" applyAlignment="1">
      <alignment horizontal="left"/>
    </xf>
    <xf numFmtId="0" fontId="3" fillId="4" borderId="1" xfId="0" applyFont="1" applyFill="1" applyBorder="1" applyAlignment="1">
      <alignment horizontal="left"/>
    </xf>
    <xf numFmtId="0" fontId="235" fillId="22" borderId="0" xfId="0" applyFont="1" applyFill="1" applyBorder="1" applyAlignment="1">
      <alignment horizontal="center" vertical="center"/>
    </xf>
    <xf numFmtId="0" fontId="326" fillId="22" borderId="0" xfId="1" applyNumberFormat="1" applyFont="1" applyFill="1" applyAlignment="1">
      <alignment horizontal="center" vertical="center"/>
    </xf>
    <xf numFmtId="0" fontId="78" fillId="4" borderId="155" xfId="8" applyFill="1" applyBorder="1" applyAlignment="1">
      <alignment vertical="center"/>
    </xf>
    <xf numFmtId="167" fontId="57" fillId="4" borderId="148" xfId="3" applyNumberFormat="1" applyFont="1" applyFill="1" applyBorder="1" applyAlignment="1">
      <alignment horizontal="center"/>
    </xf>
    <xf numFmtId="166" fontId="24" fillId="26" borderId="0" xfId="3" applyNumberFormat="1" applyFont="1" applyFill="1" applyBorder="1" applyAlignment="1">
      <alignment horizontal="center" vertical="center"/>
    </xf>
    <xf numFmtId="0" fontId="24" fillId="3" borderId="0" xfId="1" applyFont="1" applyFill="1" applyBorder="1" applyAlignment="1">
      <alignment horizontal="right" vertical="center"/>
    </xf>
    <xf numFmtId="0" fontId="41" fillId="14" borderId="0" xfId="1" applyNumberFormat="1" applyFont="1" applyFill="1" applyBorder="1" applyAlignment="1">
      <alignment horizontal="center" vertical="center"/>
    </xf>
    <xf numFmtId="0" fontId="26" fillId="4" borderId="175" xfId="0" applyFont="1" applyFill="1" applyBorder="1" applyAlignment="1">
      <alignment horizontal="right" vertical="center"/>
    </xf>
    <xf numFmtId="0" fontId="26" fillId="4" borderId="175" xfId="0" applyFont="1" applyFill="1" applyBorder="1" applyAlignment="1">
      <alignment horizontal="left" vertical="center"/>
    </xf>
    <xf numFmtId="0" fontId="0" fillId="4" borderId="175" xfId="0" applyFill="1" applyBorder="1" applyAlignment="1">
      <alignment vertical="center" wrapText="1"/>
    </xf>
    <xf numFmtId="0" fontId="26" fillId="4" borderId="145" xfId="0" applyFont="1" applyFill="1" applyBorder="1" applyAlignment="1">
      <alignment horizontal="left" vertical="center"/>
    </xf>
    <xf numFmtId="0" fontId="0" fillId="4" borderId="145" xfId="0" applyFill="1" applyBorder="1" applyAlignment="1">
      <alignment vertical="center" wrapText="1"/>
    </xf>
    <xf numFmtId="0" fontId="12" fillId="2" borderId="192" xfId="2" applyFont="1" applyFill="1" applyBorder="1" applyAlignment="1" applyProtection="1">
      <alignment horizontal="center" vertical="center"/>
      <protection locked="0"/>
    </xf>
    <xf numFmtId="0" fontId="180" fillId="4" borderId="6" xfId="1" applyFont="1" applyFill="1" applyBorder="1" applyAlignment="1" applyProtection="1">
      <alignment horizontal="center" vertical="center"/>
      <protection hidden="1"/>
    </xf>
    <xf numFmtId="0" fontId="180" fillId="4" borderId="0" xfId="1" applyFont="1" applyFill="1" applyBorder="1" applyAlignment="1" applyProtection="1">
      <alignment horizontal="center" vertical="center" wrapText="1"/>
      <protection hidden="1"/>
    </xf>
    <xf numFmtId="0" fontId="180" fillId="4" borderId="0" xfId="1" applyFont="1" applyFill="1" applyBorder="1" applyAlignment="1" applyProtection="1">
      <alignment horizontal="center" vertical="center"/>
      <protection hidden="1"/>
    </xf>
    <xf numFmtId="0" fontId="52" fillId="4" borderId="6" xfId="0" applyFont="1" applyFill="1" applyBorder="1"/>
    <xf numFmtId="0" fontId="16" fillId="7" borderId="190" xfId="0" applyFont="1" applyFill="1" applyBorder="1" applyAlignment="1">
      <alignment horizontal="center" vertical="center" textRotation="90"/>
    </xf>
    <xf numFmtId="0" fontId="12" fillId="2" borderId="55" xfId="2" applyFont="1" applyFill="1" applyBorder="1" applyAlignment="1" applyProtection="1">
      <alignment horizontal="center" vertical="center"/>
      <protection locked="0"/>
    </xf>
    <xf numFmtId="0" fontId="26" fillId="4" borderId="56" xfId="0" applyFont="1" applyFill="1" applyBorder="1" applyAlignment="1">
      <alignment horizontal="right" vertical="center"/>
    </xf>
    <xf numFmtId="166" fontId="41" fillId="70" borderId="176" xfId="3" applyNumberFormat="1" applyFont="1" applyFill="1" applyBorder="1" applyAlignment="1">
      <alignment horizontal="center" vertical="center"/>
    </xf>
    <xf numFmtId="0" fontId="0" fillId="89" borderId="0" xfId="0" applyFill="1"/>
    <xf numFmtId="0" fontId="179" fillId="2" borderId="0" xfId="0" applyFont="1" applyFill="1" applyBorder="1" applyAlignment="1">
      <alignment vertical="center"/>
    </xf>
    <xf numFmtId="0" fontId="175" fillId="2" borderId="194" xfId="0" applyFont="1" applyFill="1" applyBorder="1" applyAlignment="1">
      <alignment horizontal="left" vertical="center" wrapText="1"/>
    </xf>
    <xf numFmtId="0" fontId="341" fillId="2" borderId="2" xfId="0" applyFont="1" applyFill="1" applyBorder="1" applyAlignment="1">
      <alignment horizontal="center" vertical="center" wrapText="1"/>
    </xf>
    <xf numFmtId="0" fontId="64" fillId="2" borderId="5" xfId="0" applyFont="1" applyFill="1" applyBorder="1" applyAlignment="1">
      <alignment horizontal="center" vertical="center"/>
    </xf>
    <xf numFmtId="0" fontId="231" fillId="4" borderId="5" xfId="1" applyFont="1" applyFill="1" applyBorder="1" applyAlignment="1" applyProtection="1">
      <alignment horizontal="center" vertical="center"/>
      <protection hidden="1"/>
    </xf>
    <xf numFmtId="0" fontId="51" fillId="20" borderId="5" xfId="1" applyFont="1" applyFill="1" applyBorder="1" applyAlignment="1">
      <alignment horizontal="center" vertical="center"/>
    </xf>
    <xf numFmtId="0" fontId="51" fillId="4" borderId="5" xfId="1" applyFont="1" applyFill="1" applyBorder="1" applyAlignment="1">
      <alignment horizontal="center" vertical="center"/>
    </xf>
    <xf numFmtId="0" fontId="342" fillId="6" borderId="5" xfId="1" applyFont="1" applyFill="1" applyBorder="1" applyAlignment="1">
      <alignment horizontal="center" vertical="center"/>
    </xf>
    <xf numFmtId="0" fontId="236" fillId="4" borderId="5" xfId="0" applyFont="1" applyFill="1" applyBorder="1"/>
    <xf numFmtId="0" fontId="11" fillId="11" borderId="5" xfId="0" applyNumberFormat="1" applyFont="1" applyFill="1" applyBorder="1" applyAlignment="1" applyProtection="1">
      <alignment horizontal="center" vertical="center"/>
      <protection locked="0"/>
    </xf>
    <xf numFmtId="0" fontId="11" fillId="4" borderId="5" xfId="0" applyNumberFormat="1" applyFont="1" applyFill="1" applyBorder="1" applyAlignment="1" applyProtection="1">
      <alignment horizontal="left" vertical="center"/>
      <protection locked="0"/>
    </xf>
    <xf numFmtId="0" fontId="3" fillId="4" borderId="5" xfId="0" applyFont="1" applyFill="1" applyBorder="1" applyAlignment="1">
      <alignment horizontal="right"/>
    </xf>
    <xf numFmtId="0" fontId="177" fillId="2" borderId="2" xfId="0" applyFont="1" applyFill="1" applyBorder="1" applyAlignment="1">
      <alignment horizontal="center" vertical="center" wrapText="1"/>
    </xf>
    <xf numFmtId="2" fontId="42" fillId="2" borderId="11" xfId="0" applyNumberFormat="1" applyFont="1" applyFill="1" applyBorder="1" applyAlignment="1">
      <alignment horizontal="center" vertical="center"/>
    </xf>
    <xf numFmtId="173" fontId="12" fillId="2" borderId="5" xfId="2" applyNumberFormat="1" applyFont="1" applyFill="1" applyBorder="1" applyAlignment="1">
      <alignment horizontal="left" vertical="center"/>
    </xf>
    <xf numFmtId="193" fontId="5" fillId="4" borderId="0" xfId="1" applyNumberFormat="1" applyFont="1" applyFill="1" applyBorder="1" applyAlignment="1" applyProtection="1">
      <alignment horizontal="center" vertical="center"/>
      <protection hidden="1"/>
    </xf>
    <xf numFmtId="193" fontId="5" fillId="4" borderId="1" xfId="1" applyNumberFormat="1" applyFont="1" applyFill="1" applyBorder="1" applyAlignment="1" applyProtection="1">
      <alignment horizontal="center" vertical="center"/>
      <protection hidden="1"/>
    </xf>
    <xf numFmtId="164" fontId="82" fillId="8" borderId="5" xfId="3" applyNumberFormat="1" applyFont="1" applyFill="1" applyBorder="1" applyAlignment="1">
      <alignment horizontal="center" vertical="center"/>
    </xf>
    <xf numFmtId="164" fontId="82" fillId="8" borderId="149" xfId="3" applyNumberFormat="1" applyFont="1" applyFill="1" applyBorder="1" applyAlignment="1">
      <alignment horizontal="center" vertical="center"/>
    </xf>
    <xf numFmtId="0" fontId="211" fillId="75" borderId="4" xfId="1" applyNumberFormat="1" applyFont="1" applyFill="1" applyBorder="1" applyAlignment="1">
      <alignment horizontal="center" vertical="center" wrapText="1"/>
    </xf>
    <xf numFmtId="166" fontId="21" fillId="11" borderId="4" xfId="3" applyNumberFormat="1" applyFont="1" applyFill="1" applyBorder="1" applyAlignment="1">
      <alignment horizontal="left" vertical="center"/>
    </xf>
    <xf numFmtId="166" fontId="21" fillId="11" borderId="158" xfId="3" applyNumberFormat="1" applyFont="1" applyFill="1" applyBorder="1" applyAlignment="1">
      <alignment horizontal="left" vertical="center"/>
    </xf>
    <xf numFmtId="2" fontId="261" fillId="16" borderId="5" xfId="1" applyNumberFormat="1" applyFont="1" applyFill="1" applyBorder="1" applyAlignment="1">
      <alignment vertical="center"/>
    </xf>
    <xf numFmtId="0" fontId="160" fillId="46" borderId="6" xfId="0" applyFont="1" applyFill="1" applyBorder="1" applyAlignment="1">
      <alignment vertical="center"/>
    </xf>
    <xf numFmtId="0" fontId="3" fillId="22" borderId="0" xfId="0" applyFont="1" applyFill="1" applyAlignment="1">
      <alignment vertical="center"/>
    </xf>
    <xf numFmtId="0" fontId="0" fillId="22" borderId="0" xfId="0" applyFont="1" applyFill="1" applyAlignment="1">
      <alignment vertical="center"/>
    </xf>
    <xf numFmtId="1" fontId="21" fillId="11" borderId="4" xfId="3" applyNumberFormat="1" applyFont="1" applyFill="1" applyBorder="1" applyAlignment="1">
      <alignment horizontal="center" vertical="center"/>
    </xf>
    <xf numFmtId="166" fontId="21" fillId="11" borderId="4" xfId="3" applyNumberFormat="1" applyFont="1" applyFill="1" applyBorder="1" applyAlignment="1">
      <alignment horizontal="center" vertical="center"/>
    </xf>
    <xf numFmtId="0" fontId="65" fillId="4" borderId="0" xfId="1" applyFont="1" applyFill="1" applyBorder="1" applyAlignment="1" applyProtection="1">
      <alignment horizontal="right" vertical="center"/>
      <protection hidden="1"/>
    </xf>
    <xf numFmtId="0" fontId="88" fillId="4" borderId="145" xfId="0" applyFont="1" applyFill="1" applyBorder="1" applyAlignment="1">
      <alignment horizontal="right" vertical="center"/>
    </xf>
    <xf numFmtId="164" fontId="181" fillId="79" borderId="143" xfId="3" applyNumberFormat="1" applyFont="1" applyFill="1" applyBorder="1" applyAlignment="1">
      <alignment horizontal="center" vertical="center"/>
    </xf>
    <xf numFmtId="0" fontId="70" fillId="30" borderId="150" xfId="0" applyFont="1" applyFill="1" applyBorder="1" applyAlignment="1">
      <alignment horizontal="center" vertical="center"/>
    </xf>
    <xf numFmtId="0" fontId="70" fillId="30" borderId="1" xfId="0" applyFont="1" applyFill="1" applyBorder="1" applyAlignment="1">
      <alignment horizontal="center" vertical="center"/>
    </xf>
    <xf numFmtId="0" fontId="70" fillId="30" borderId="149" xfId="0" applyFont="1" applyFill="1" applyBorder="1" applyAlignment="1">
      <alignment horizontal="center" vertical="center"/>
    </xf>
    <xf numFmtId="0" fontId="11" fillId="2" borderId="0" xfId="2" applyFont="1" applyFill="1" applyBorder="1" applyAlignment="1">
      <alignment vertical="center" wrapText="1"/>
    </xf>
    <xf numFmtId="0" fontId="11" fillId="2" borderId="5" xfId="0" applyFont="1" applyFill="1" applyBorder="1" applyAlignment="1">
      <alignment horizontal="center"/>
    </xf>
    <xf numFmtId="0" fontId="11" fillId="2" borderId="6" xfId="2" applyFont="1" applyFill="1" applyBorder="1" applyAlignment="1">
      <alignment vertical="center" wrapText="1"/>
    </xf>
    <xf numFmtId="0" fontId="11" fillId="2" borderId="5" xfId="2" applyFont="1" applyFill="1" applyBorder="1" applyAlignment="1">
      <alignment vertical="center" wrapText="1"/>
    </xf>
    <xf numFmtId="0" fontId="0" fillId="4" borderId="195" xfId="0" applyFill="1" applyBorder="1"/>
    <xf numFmtId="0" fontId="0" fillId="4" borderId="4" xfId="0" applyFill="1" applyBorder="1"/>
    <xf numFmtId="0" fontId="0" fillId="4" borderId="158" xfId="0" applyFill="1" applyBorder="1"/>
    <xf numFmtId="0" fontId="26" fillId="4" borderId="0" xfId="0" applyFont="1" applyFill="1" applyBorder="1" applyAlignment="1">
      <alignment horizontal="left" vertical="center"/>
    </xf>
    <xf numFmtId="0" fontId="0" fillId="4" borderId="0" xfId="0" applyFill="1" applyBorder="1" applyAlignment="1">
      <alignment vertical="center" wrapText="1"/>
    </xf>
    <xf numFmtId="0" fontId="88" fillId="4" borderId="0" xfId="0" applyFont="1" applyFill="1" applyBorder="1" applyAlignment="1">
      <alignment horizontal="right" vertical="center"/>
    </xf>
    <xf numFmtId="164" fontId="181" fillId="4" borderId="5" xfId="3" applyNumberFormat="1" applyFont="1" applyFill="1" applyBorder="1" applyAlignment="1">
      <alignment horizontal="center" vertical="center"/>
    </xf>
    <xf numFmtId="166" fontId="41" fillId="4" borderId="6" xfId="3" applyNumberFormat="1" applyFont="1" applyFill="1" applyBorder="1" applyAlignment="1">
      <alignment horizontal="center" vertical="center"/>
    </xf>
    <xf numFmtId="0" fontId="52" fillId="37" borderId="150" xfId="0" applyFont="1" applyFill="1" applyBorder="1" applyAlignment="1">
      <alignment vertical="center" wrapText="1"/>
    </xf>
    <xf numFmtId="0" fontId="52" fillId="37" borderId="1" xfId="0" applyFont="1" applyFill="1" applyBorder="1" applyAlignment="1">
      <alignment vertical="center" wrapText="1"/>
    </xf>
    <xf numFmtId="0" fontId="52" fillId="37" borderId="149" xfId="0" applyFont="1" applyFill="1" applyBorder="1" applyAlignment="1">
      <alignment vertical="center" wrapText="1"/>
    </xf>
    <xf numFmtId="0" fontId="335" fillId="0" borderId="0" xfId="1" applyNumberFormat="1" applyFont="1" applyAlignment="1">
      <alignment vertical="center"/>
    </xf>
    <xf numFmtId="0" fontId="298" fillId="4" borderId="0" xfId="1" applyNumberFormat="1" applyFont="1" applyFill="1" applyBorder="1" applyAlignment="1">
      <alignment vertical="center"/>
    </xf>
    <xf numFmtId="0" fontId="236" fillId="4" borderId="0" xfId="0" applyFont="1" applyFill="1" applyBorder="1"/>
    <xf numFmtId="0" fontId="75" fillId="4" borderId="0" xfId="0" applyFont="1" applyFill="1" applyAlignment="1">
      <alignment horizontal="right" vertical="center"/>
    </xf>
    <xf numFmtId="2" fontId="74" fillId="4" borderId="0" xfId="2" applyNumberFormat="1" applyFont="1" applyFill="1" applyAlignment="1">
      <alignment horizontal="center"/>
    </xf>
    <xf numFmtId="2" fontId="247" fillId="4" borderId="0" xfId="2" applyNumberFormat="1" applyFont="1" applyFill="1" applyAlignment="1">
      <alignment horizontal="center" textRotation="90"/>
    </xf>
    <xf numFmtId="0" fontId="34" fillId="90" borderId="20" xfId="2" applyFont="1" applyFill="1" applyBorder="1" applyAlignment="1" applyProtection="1">
      <alignment horizontal="center" vertical="center"/>
      <protection locked="0"/>
    </xf>
    <xf numFmtId="0" fontId="70" fillId="77" borderId="5" xfId="0" applyFont="1" applyFill="1" applyBorder="1" applyAlignment="1">
      <alignment horizontal="center" vertical="center"/>
    </xf>
    <xf numFmtId="0" fontId="62" fillId="4" borderId="5" xfId="1" applyFont="1" applyFill="1" applyBorder="1" applyAlignment="1">
      <alignment horizontal="center" vertical="center"/>
    </xf>
    <xf numFmtId="0" fontId="239" fillId="23" borderId="6" xfId="1" applyFont="1" applyFill="1" applyBorder="1" applyAlignment="1" applyProtection="1">
      <alignment horizontal="center" vertical="center"/>
      <protection hidden="1"/>
    </xf>
    <xf numFmtId="0" fontId="239" fillId="23" borderId="0" xfId="1" applyFont="1" applyFill="1" applyBorder="1" applyAlignment="1" applyProtection="1">
      <alignment horizontal="center" vertical="center"/>
      <protection hidden="1"/>
    </xf>
    <xf numFmtId="0" fontId="179" fillId="2" borderId="6" xfId="0" applyFont="1" applyFill="1" applyBorder="1" applyAlignment="1">
      <alignment horizontal="left" vertical="center"/>
    </xf>
    <xf numFmtId="0" fontId="66" fillId="2" borderId="0" xfId="0" applyFont="1" applyFill="1" applyBorder="1" applyAlignment="1">
      <alignment horizontal="left" vertical="center"/>
    </xf>
    <xf numFmtId="0" fontId="345" fillId="34" borderId="0" xfId="18" applyFont="1" applyFill="1" applyAlignment="1">
      <alignment horizontal="left" vertical="center"/>
    </xf>
    <xf numFmtId="0" fontId="348" fillId="34" borderId="0" xfId="18" applyFont="1" applyFill="1" applyAlignment="1">
      <alignment horizontal="left" vertical="center"/>
    </xf>
    <xf numFmtId="0" fontId="216" fillId="0" borderId="0" xfId="18"/>
    <xf numFmtId="0" fontId="349" fillId="0" borderId="0" xfId="18" applyFont="1"/>
    <xf numFmtId="0" fontId="350" fillId="0" borderId="0" xfId="18" applyFont="1"/>
    <xf numFmtId="0" fontId="351" fillId="0" borderId="0" xfId="18" applyFont="1"/>
    <xf numFmtId="0" fontId="352" fillId="0" borderId="0" xfId="18" applyFont="1" applyAlignment="1">
      <alignment horizontal="left" vertical="center"/>
    </xf>
    <xf numFmtId="0" fontId="353" fillId="0" borderId="0" xfId="18" applyFont="1" applyAlignment="1">
      <alignment horizontal="center"/>
    </xf>
    <xf numFmtId="0" fontId="353" fillId="0" borderId="0" xfId="18" applyFont="1"/>
    <xf numFmtId="0" fontId="353" fillId="0" borderId="0" xfId="18" applyFont="1" applyAlignment="1">
      <alignment horizontal="centerContinuous"/>
    </xf>
    <xf numFmtId="0" fontId="353" fillId="0" borderId="0" xfId="18" applyFont="1" applyAlignment="1">
      <alignment horizontal="right"/>
    </xf>
    <xf numFmtId="14" fontId="353" fillId="0" borderId="0" xfId="18" applyNumberFormat="1" applyFont="1" applyAlignment="1">
      <alignment horizontal="left"/>
    </xf>
    <xf numFmtId="0" fontId="354" fillId="0" borderId="0" xfId="18" applyFont="1"/>
    <xf numFmtId="0" fontId="353" fillId="0" borderId="0" xfId="18" applyFont="1" applyAlignment="1">
      <alignment horizontal="left" vertical="top"/>
    </xf>
    <xf numFmtId="0" fontId="353" fillId="0" borderId="0" xfId="18" applyFont="1" applyAlignment="1">
      <alignment vertical="top"/>
    </xf>
    <xf numFmtId="0" fontId="355" fillId="0" borderId="0" xfId="18" applyFont="1" applyAlignment="1">
      <alignment horizontal="left" vertical="top"/>
    </xf>
    <xf numFmtId="0" fontId="355" fillId="0" borderId="0" xfId="18" applyFont="1" applyAlignment="1">
      <alignment vertical="top"/>
    </xf>
    <xf numFmtId="0" fontId="345" fillId="4" borderId="196" xfId="18" applyFont="1" applyFill="1" applyBorder="1" applyAlignment="1" applyProtection="1">
      <alignment horizontal="center"/>
      <protection locked="0"/>
    </xf>
    <xf numFmtId="0" fontId="356" fillId="0" borderId="0" xfId="18" applyFont="1"/>
    <xf numFmtId="0" fontId="355" fillId="0" borderId="0" xfId="18" applyFont="1"/>
    <xf numFmtId="203" fontId="345" fillId="4" borderId="196" xfId="18" applyNumberFormat="1" applyFont="1" applyFill="1" applyBorder="1" applyAlignment="1">
      <alignment horizontal="center"/>
    </xf>
    <xf numFmtId="204" fontId="355" fillId="0" borderId="0" xfId="18" applyNumberFormat="1" applyFont="1" applyFill="1" applyAlignment="1">
      <alignment horizontal="right"/>
    </xf>
    <xf numFmtId="0" fontId="357" fillId="0" borderId="0" xfId="18" applyFont="1" applyAlignment="1">
      <alignment horizontal="left" vertical="center"/>
    </xf>
    <xf numFmtId="0" fontId="358" fillId="0" borderId="0" xfId="18" applyFont="1"/>
    <xf numFmtId="0" fontId="357" fillId="0" borderId="88" xfId="18" applyFont="1" applyBorder="1" applyAlignment="1">
      <alignment horizontal="left" vertical="center"/>
    </xf>
    <xf numFmtId="0" fontId="357" fillId="0" borderId="88" xfId="18" applyFont="1" applyBorder="1" applyAlignment="1">
      <alignment horizontal="center" vertical="center"/>
    </xf>
    <xf numFmtId="0" fontId="357" fillId="0" borderId="197" xfId="18" applyFont="1" applyBorder="1" applyAlignment="1">
      <alignment horizontal="center" vertical="center"/>
    </xf>
    <xf numFmtId="0" fontId="357" fillId="0" borderId="196" xfId="18" applyFont="1" applyBorder="1" applyAlignment="1">
      <alignment horizontal="center" vertical="center"/>
    </xf>
    <xf numFmtId="0" fontId="357" fillId="90" borderId="198" xfId="18" applyFont="1" applyFill="1" applyBorder="1" applyAlignment="1">
      <alignment horizontal="center" vertical="center"/>
    </xf>
    <xf numFmtId="0" fontId="355" fillId="0" borderId="88" xfId="18" applyFont="1" applyBorder="1" applyAlignment="1">
      <alignment horizontal="left" vertical="center"/>
    </xf>
    <xf numFmtId="205" fontId="355" fillId="0" borderId="88" xfId="18" applyNumberFormat="1" applyFont="1" applyBorder="1" applyAlignment="1">
      <alignment horizontal="center" vertical="center"/>
    </xf>
    <xf numFmtId="206" fontId="357" fillId="0" borderId="88" xfId="18" applyNumberFormat="1" applyFont="1" applyBorder="1" applyAlignment="1">
      <alignment horizontal="center" vertical="center"/>
    </xf>
    <xf numFmtId="10" fontId="357" fillId="0" borderId="199" xfId="19" applyNumberFormat="1" applyFont="1" applyBorder="1" applyAlignment="1">
      <alignment horizontal="center" vertical="center"/>
    </xf>
    <xf numFmtId="207" fontId="359" fillId="91" borderId="88" xfId="18" applyNumberFormat="1" applyFont="1" applyFill="1" applyBorder="1" applyAlignment="1">
      <alignment horizontal="center" vertical="center"/>
    </xf>
    <xf numFmtId="208" fontId="355" fillId="0" borderId="88" xfId="18" applyNumberFormat="1" applyFont="1" applyBorder="1" applyAlignment="1">
      <alignment horizontal="center" vertical="center"/>
    </xf>
    <xf numFmtId="208" fontId="357" fillId="0" borderId="88" xfId="18" applyNumberFormat="1" applyFont="1" applyBorder="1" applyAlignment="1">
      <alignment horizontal="center" vertical="center"/>
    </xf>
    <xf numFmtId="0" fontId="355" fillId="0" borderId="0" xfId="18" applyFont="1" applyAlignment="1">
      <alignment horizontal="center" vertical="center"/>
    </xf>
    <xf numFmtId="10" fontId="357" fillId="0" borderId="88" xfId="19" applyNumberFormat="1" applyFont="1" applyBorder="1" applyAlignment="1">
      <alignment horizontal="center" vertical="center"/>
    </xf>
    <xf numFmtId="0" fontId="355" fillId="0" borderId="0" xfId="18" applyFont="1" applyAlignment="1">
      <alignment vertical="center"/>
    </xf>
    <xf numFmtId="0" fontId="357" fillId="0" borderId="88" xfId="18" applyFont="1" applyBorder="1" applyAlignment="1">
      <alignment horizontal="left"/>
    </xf>
    <xf numFmtId="207" fontId="357" fillId="0" borderId="88" xfId="18" applyNumberFormat="1" applyFont="1" applyBorder="1" applyAlignment="1">
      <alignment horizontal="center" vertical="center"/>
    </xf>
    <xf numFmtId="193" fontId="357" fillId="0" borderId="88" xfId="18" applyNumberFormat="1" applyFont="1" applyBorder="1" applyAlignment="1">
      <alignment horizontal="center" vertical="center"/>
    </xf>
    <xf numFmtId="203" fontId="359" fillId="91" borderId="88" xfId="18" applyNumberFormat="1" applyFont="1" applyFill="1" applyBorder="1" applyAlignment="1">
      <alignment horizontal="center" vertical="center"/>
    </xf>
    <xf numFmtId="0" fontId="360" fillId="0" borderId="0" xfId="18" applyFont="1" applyBorder="1" applyAlignment="1">
      <alignment horizontal="centerContinuous"/>
    </xf>
    <xf numFmtId="205" fontId="355" fillId="0" borderId="0" xfId="18" applyNumberFormat="1" applyFont="1" applyBorder="1" applyAlignment="1">
      <alignment horizontal="centerContinuous"/>
    </xf>
    <xf numFmtId="0" fontId="360" fillId="0" borderId="0" xfId="18" applyFont="1" applyAlignment="1">
      <alignment horizontal="centerContinuous"/>
    </xf>
    <xf numFmtId="0" fontId="355" fillId="0" borderId="0" xfId="18" applyFont="1" applyAlignment="1">
      <alignment horizontal="centerContinuous"/>
    </xf>
    <xf numFmtId="209" fontId="357" fillId="0" borderId="0" xfId="18" applyNumberFormat="1" applyFont="1" applyBorder="1"/>
    <xf numFmtId="0" fontId="357" fillId="0" borderId="0" xfId="18" applyFont="1" applyBorder="1"/>
    <xf numFmtId="210" fontId="357" fillId="0" borderId="0" xfId="18" applyNumberFormat="1" applyFont="1" applyAlignment="1">
      <alignment horizontal="left"/>
    </xf>
    <xf numFmtId="0" fontId="355" fillId="0" borderId="0" xfId="18" applyFont="1" applyBorder="1"/>
    <xf numFmtId="205" fontId="355" fillId="0" borderId="0" xfId="18" applyNumberFormat="1" applyFont="1" applyBorder="1"/>
    <xf numFmtId="0" fontId="355" fillId="0" borderId="0" xfId="18" applyFont="1" applyAlignment="1">
      <alignment horizontal="left" vertical="center"/>
    </xf>
    <xf numFmtId="205" fontId="357" fillId="0" borderId="0" xfId="18" applyNumberFormat="1" applyFont="1" applyAlignment="1">
      <alignment horizontal="centerContinuous"/>
    </xf>
    <xf numFmtId="10" fontId="357" fillId="0" borderId="0" xfId="19" applyNumberFormat="1" applyFont="1" applyAlignment="1">
      <alignment horizontal="centerContinuous"/>
    </xf>
    <xf numFmtId="206" fontId="357" fillId="0" borderId="0" xfId="18" applyNumberFormat="1" applyFont="1" applyAlignment="1">
      <alignment horizontal="centerContinuous"/>
    </xf>
    <xf numFmtId="0" fontId="356" fillId="0" borderId="0" xfId="18" applyFont="1" applyAlignment="1">
      <alignment horizontal="centerContinuous"/>
    </xf>
    <xf numFmtId="0" fontId="355" fillId="0" borderId="0" xfId="18" applyFont="1" applyAlignment="1"/>
    <xf numFmtId="0" fontId="356" fillId="0" borderId="0" xfId="18" applyFont="1" applyAlignment="1"/>
    <xf numFmtId="206" fontId="357" fillId="0" borderId="0" xfId="18" applyNumberFormat="1" applyFont="1" applyAlignment="1"/>
    <xf numFmtId="0" fontId="360" fillId="0" borderId="0" xfId="18" applyFont="1"/>
    <xf numFmtId="0" fontId="357" fillId="0" borderId="0" xfId="18" applyFont="1"/>
    <xf numFmtId="0" fontId="355" fillId="0" borderId="0" xfId="18" applyFont="1" applyAlignment="1">
      <alignment horizontal="center"/>
    </xf>
    <xf numFmtId="0" fontId="358" fillId="0" borderId="0" xfId="18" applyFont="1" applyAlignment="1">
      <alignment horizontal="center"/>
    </xf>
    <xf numFmtId="0" fontId="358" fillId="0" borderId="0" xfId="18" applyFont="1" applyAlignment="1">
      <alignment horizontal="right"/>
    </xf>
    <xf numFmtId="0" fontId="353" fillId="0" borderId="0" xfId="18" applyFont="1" applyAlignment="1">
      <alignment horizontal="left" vertical="center"/>
    </xf>
    <xf numFmtId="0" fontId="357" fillId="0" borderId="88" xfId="18" applyFont="1" applyBorder="1" applyAlignment="1">
      <alignment horizontal="center"/>
    </xf>
    <xf numFmtId="0" fontId="357" fillId="0" borderId="197" xfId="18" applyFont="1" applyBorder="1" applyAlignment="1">
      <alignment horizontal="center"/>
    </xf>
    <xf numFmtId="0" fontId="357" fillId="0" borderId="196" xfId="18" applyFont="1" applyBorder="1" applyAlignment="1">
      <alignment horizontal="center"/>
    </xf>
    <xf numFmtId="0" fontId="357" fillId="22" borderId="198" xfId="18" applyFont="1" applyFill="1" applyBorder="1" applyAlignment="1">
      <alignment horizontal="center"/>
    </xf>
    <xf numFmtId="0" fontId="355" fillId="0" borderId="88" xfId="18" applyFont="1" applyBorder="1" applyAlignment="1">
      <alignment horizontal="left"/>
    </xf>
    <xf numFmtId="207" fontId="357" fillId="22" borderId="88" xfId="18" applyNumberFormat="1" applyFont="1" applyFill="1" applyBorder="1" applyAlignment="1">
      <alignment horizontal="center" vertical="center"/>
    </xf>
    <xf numFmtId="203" fontId="357" fillId="22" borderId="88" xfId="18" applyNumberFormat="1" applyFont="1" applyFill="1" applyBorder="1" applyAlignment="1">
      <alignment horizontal="center" vertical="center"/>
    </xf>
    <xf numFmtId="0" fontId="357" fillId="91" borderId="198" xfId="18" applyFont="1" applyFill="1" applyBorder="1" applyAlignment="1">
      <alignment horizontal="center" vertical="center"/>
    </xf>
    <xf numFmtId="207" fontId="357" fillId="91" borderId="88" xfId="18" applyNumberFormat="1" applyFont="1" applyFill="1" applyBorder="1" applyAlignment="1">
      <alignment horizontal="center" vertical="center"/>
    </xf>
    <xf numFmtId="203" fontId="357" fillId="91" borderId="88" xfId="18" applyNumberFormat="1" applyFont="1" applyFill="1" applyBorder="1" applyAlignment="1">
      <alignment horizontal="center" vertical="center"/>
    </xf>
    <xf numFmtId="0" fontId="361" fillId="34" borderId="0" xfId="18" applyFont="1" applyFill="1" applyAlignment="1">
      <alignment horizontal="left" vertical="center"/>
    </xf>
    <xf numFmtId="0" fontId="217" fillId="0" borderId="0" xfId="18" applyFont="1"/>
    <xf numFmtId="0" fontId="357" fillId="92" borderId="198" xfId="18" applyFont="1" applyFill="1" applyBorder="1" applyAlignment="1">
      <alignment horizontal="center"/>
    </xf>
    <xf numFmtId="207" fontId="357" fillId="92" borderId="88" xfId="18" applyNumberFormat="1" applyFont="1" applyFill="1" applyBorder="1" applyAlignment="1">
      <alignment horizontal="center" vertical="center"/>
    </xf>
    <xf numFmtId="203" fontId="357" fillId="92" borderId="88" xfId="18" applyNumberFormat="1" applyFont="1" applyFill="1" applyBorder="1" applyAlignment="1">
      <alignment horizontal="center" vertical="center"/>
    </xf>
    <xf numFmtId="0" fontId="352" fillId="0" borderId="0" xfId="18" applyFont="1" applyAlignment="1">
      <alignment horizontal="center" vertical="center"/>
    </xf>
    <xf numFmtId="14" fontId="353" fillId="0" borderId="0" xfId="18" applyNumberFormat="1" applyFont="1" applyAlignment="1">
      <alignment horizontal="center"/>
    </xf>
    <xf numFmtId="0" fontId="354" fillId="0" borderId="0" xfId="18" applyFont="1" applyAlignment="1">
      <alignment horizontal="center"/>
    </xf>
    <xf numFmtId="0" fontId="356" fillId="0" borderId="0" xfId="18" applyFont="1" applyAlignment="1">
      <alignment horizontal="left"/>
    </xf>
    <xf numFmtId="0" fontId="356" fillId="0" borderId="0" xfId="18" applyFont="1" applyAlignment="1">
      <alignment horizontal="center"/>
    </xf>
    <xf numFmtId="204" fontId="355" fillId="0" borderId="0" xfId="18" applyNumberFormat="1" applyFont="1" applyFill="1" applyAlignment="1">
      <alignment horizontal="center"/>
    </xf>
    <xf numFmtId="0" fontId="357" fillId="0" borderId="0" xfId="18" applyFont="1" applyAlignment="1">
      <alignment horizontal="center" vertical="center"/>
    </xf>
    <xf numFmtId="0" fontId="357" fillId="19" borderId="198" xfId="18" applyFont="1" applyFill="1" applyBorder="1" applyAlignment="1">
      <alignment horizontal="center" vertical="center"/>
    </xf>
    <xf numFmtId="207" fontId="357" fillId="19" borderId="88" xfId="18" applyNumberFormat="1" applyFont="1" applyFill="1" applyBorder="1" applyAlignment="1">
      <alignment horizontal="center" vertical="center"/>
    </xf>
    <xf numFmtId="0" fontId="355" fillId="0" borderId="0" xfId="18" applyFont="1" applyAlignment="1">
      <alignment horizontal="left"/>
    </xf>
    <xf numFmtId="203" fontId="357" fillId="19" borderId="88" xfId="18" applyNumberFormat="1" applyFont="1" applyFill="1" applyBorder="1" applyAlignment="1">
      <alignment horizontal="center" vertical="center"/>
    </xf>
    <xf numFmtId="0" fontId="360" fillId="0" borderId="0" xfId="18" applyFont="1" applyBorder="1" applyAlignment="1">
      <alignment horizontal="left"/>
    </xf>
    <xf numFmtId="205" fontId="355" fillId="0" borderId="0" xfId="18" applyNumberFormat="1" applyFont="1" applyBorder="1" applyAlignment="1">
      <alignment horizontal="center"/>
    </xf>
    <xf numFmtId="0" fontId="360" fillId="0" borderId="0" xfId="18" applyFont="1" applyAlignment="1">
      <alignment horizontal="center"/>
    </xf>
    <xf numFmtId="209" fontId="357" fillId="0" borderId="0" xfId="18" applyNumberFormat="1" applyFont="1" applyBorder="1" applyAlignment="1">
      <alignment horizontal="center"/>
    </xf>
    <xf numFmtId="0" fontId="357" fillId="0" borderId="0" xfId="18" applyFont="1" applyBorder="1" applyAlignment="1">
      <alignment horizontal="left"/>
    </xf>
    <xf numFmtId="210" fontId="357" fillId="0" borderId="0" xfId="18" applyNumberFormat="1" applyFont="1" applyAlignment="1">
      <alignment horizontal="center"/>
    </xf>
    <xf numFmtId="0" fontId="355" fillId="0" borderId="0" xfId="18" applyFont="1" applyBorder="1" applyAlignment="1">
      <alignment horizontal="left"/>
    </xf>
    <xf numFmtId="205" fontId="357" fillId="0" borderId="0" xfId="18" applyNumberFormat="1" applyFont="1" applyAlignment="1">
      <alignment horizontal="center"/>
    </xf>
    <xf numFmtId="10" fontId="357" fillId="0" borderId="0" xfId="19" applyNumberFormat="1" applyFont="1" applyAlignment="1">
      <alignment horizontal="center"/>
    </xf>
    <xf numFmtId="206" fontId="357" fillId="0" borderId="0" xfId="18" applyNumberFormat="1" applyFont="1" applyAlignment="1">
      <alignment horizontal="center"/>
    </xf>
    <xf numFmtId="0" fontId="357" fillId="0" borderId="0" xfId="18" applyFont="1" applyAlignment="1">
      <alignment horizontal="center"/>
    </xf>
    <xf numFmtId="0" fontId="360" fillId="0" borderId="0" xfId="18" applyFont="1" applyAlignment="1">
      <alignment horizontal="left"/>
    </xf>
    <xf numFmtId="0" fontId="358" fillId="0" borderId="0" xfId="18" applyFont="1" applyAlignment="1">
      <alignment horizontal="left"/>
    </xf>
    <xf numFmtId="0" fontId="357" fillId="0" borderId="0" xfId="18" applyFont="1" applyAlignment="1">
      <alignment horizontal="left"/>
    </xf>
    <xf numFmtId="0" fontId="353" fillId="4" borderId="0" xfId="18" applyFont="1" applyFill="1" applyAlignment="1">
      <alignment horizontal="centerContinuous"/>
    </xf>
    <xf numFmtId="0" fontId="353" fillId="4" borderId="0" xfId="18" applyFont="1" applyFill="1"/>
    <xf numFmtId="0" fontId="357" fillId="34" borderId="198" xfId="18" applyFont="1" applyFill="1" applyBorder="1" applyAlignment="1">
      <alignment horizontal="center" vertical="center"/>
    </xf>
    <xf numFmtId="207" fontId="357" fillId="34" borderId="88" xfId="18" applyNumberFormat="1" applyFont="1" applyFill="1" applyBorder="1" applyAlignment="1">
      <alignment horizontal="center" vertical="center"/>
    </xf>
    <xf numFmtId="203" fontId="357" fillId="34" borderId="88" xfId="18" applyNumberFormat="1" applyFont="1" applyFill="1" applyBorder="1" applyAlignment="1">
      <alignment horizontal="center" vertical="center"/>
    </xf>
    <xf numFmtId="0" fontId="355" fillId="4" borderId="0" xfId="18" applyFont="1" applyFill="1" applyAlignment="1">
      <alignment horizontal="centerContinuous"/>
    </xf>
    <xf numFmtId="0" fontId="355" fillId="4" borderId="0" xfId="18" applyFont="1" applyFill="1"/>
    <xf numFmtId="206" fontId="357" fillId="4" borderId="0" xfId="18" applyNumberFormat="1" applyFont="1" applyFill="1" applyAlignment="1">
      <alignment horizontal="centerContinuous"/>
    </xf>
    <xf numFmtId="0" fontId="355" fillId="4" borderId="0" xfId="18" applyFont="1" applyFill="1" applyAlignment="1"/>
    <xf numFmtId="0" fontId="358" fillId="4" borderId="0" xfId="18" applyFont="1" applyFill="1"/>
    <xf numFmtId="0" fontId="356" fillId="4" borderId="0" xfId="18" applyFont="1" applyFill="1"/>
    <xf numFmtId="0" fontId="364" fillId="0" borderId="0" xfId="18" applyFont="1"/>
    <xf numFmtId="0" fontId="368" fillId="0" borderId="0" xfId="18" applyFont="1"/>
    <xf numFmtId="0" fontId="369" fillId="0" borderId="0" xfId="18" applyFont="1"/>
    <xf numFmtId="0" fontId="370" fillId="0" borderId="0" xfId="18" applyFont="1"/>
    <xf numFmtId="0" fontId="371" fillId="0" borderId="0" xfId="8" applyFont="1"/>
    <xf numFmtId="0" fontId="216" fillId="0" borderId="0" xfId="18" applyAlignment="1"/>
    <xf numFmtId="0" fontId="371" fillId="0" borderId="0" xfId="8" applyFont="1" applyAlignment="1">
      <alignment horizontal="left" vertical="center"/>
    </xf>
    <xf numFmtId="0" fontId="370" fillId="0" borderId="0" xfId="18" applyFont="1" applyAlignment="1"/>
    <xf numFmtId="164" fontId="32" fillId="17" borderId="5" xfId="1" applyNumberFormat="1" applyFont="1" applyFill="1" applyBorder="1" applyAlignment="1">
      <alignment horizontal="center" vertical="center"/>
    </xf>
    <xf numFmtId="0" fontId="61" fillId="4" borderId="200" xfId="1" applyFont="1" applyFill="1" applyBorder="1" applyAlignment="1" applyProtection="1">
      <alignment vertical="center"/>
      <protection hidden="1"/>
    </xf>
    <xf numFmtId="0" fontId="17" fillId="4" borderId="0" xfId="1" applyFont="1" applyFill="1" applyBorder="1" applyAlignment="1" applyProtection="1">
      <alignment horizontal="left" vertical="center"/>
      <protection hidden="1"/>
    </xf>
    <xf numFmtId="167" fontId="35" fillId="20" borderId="203" xfId="2" applyNumberFormat="1" applyFont="1" applyFill="1" applyBorder="1" applyAlignment="1">
      <alignment horizontal="left" vertical="center" wrapText="1"/>
    </xf>
    <xf numFmtId="0" fontId="34" fillId="19" borderId="204" xfId="2" applyFont="1" applyFill="1" applyBorder="1" applyAlignment="1" applyProtection="1">
      <alignment horizontal="center" vertical="center"/>
      <protection locked="0"/>
    </xf>
    <xf numFmtId="166" fontId="34" fillId="20" borderId="203" xfId="3" applyNumberFormat="1" applyFont="1" applyFill="1" applyBorder="1" applyAlignment="1">
      <alignment horizontal="center" vertical="center"/>
    </xf>
    <xf numFmtId="0" fontId="14" fillId="4" borderId="4" xfId="0" applyFont="1" applyFill="1" applyBorder="1" applyAlignment="1">
      <alignment vertical="center"/>
    </xf>
    <xf numFmtId="0" fontId="5" fillId="4" borderId="203" xfId="1" applyFont="1" applyFill="1" applyBorder="1" applyAlignment="1" applyProtection="1">
      <alignment horizontal="center" vertical="center" wrapText="1"/>
      <protection hidden="1"/>
    </xf>
    <xf numFmtId="164" fontId="21" fillId="12" borderId="5" xfId="3" applyNumberFormat="1" applyFont="1" applyFill="1" applyBorder="1" applyAlignment="1">
      <alignment horizontal="center" vertical="center"/>
    </xf>
    <xf numFmtId="164" fontId="24" fillId="27" borderId="5" xfId="3" applyNumberFormat="1" applyFont="1" applyFill="1" applyBorder="1" applyAlignment="1">
      <alignment horizontal="center" vertical="center"/>
    </xf>
    <xf numFmtId="164" fontId="30" fillId="16" borderId="0" xfId="1" applyNumberFormat="1" applyFont="1" applyFill="1" applyBorder="1" applyAlignment="1">
      <alignment horizontal="center" vertical="center"/>
    </xf>
    <xf numFmtId="196" fontId="218" fillId="72" borderId="6" xfId="18" applyNumberFormat="1" applyFont="1" applyFill="1" applyBorder="1" applyAlignment="1">
      <alignment horizontal="center" vertical="center"/>
    </xf>
    <xf numFmtId="196" fontId="31" fillId="16" borderId="6" xfId="1" applyNumberFormat="1" applyFont="1" applyFill="1" applyBorder="1" applyAlignment="1">
      <alignment horizontal="right" vertical="center"/>
    </xf>
    <xf numFmtId="196" fontId="30" fillId="33" borderId="0" xfId="1" applyNumberFormat="1" applyFont="1" applyFill="1" applyBorder="1" applyAlignment="1">
      <alignment horizontal="center" vertical="center"/>
    </xf>
    <xf numFmtId="196" fontId="31" fillId="16" borderId="0" xfId="1" applyNumberFormat="1" applyFont="1" applyFill="1" applyBorder="1" applyAlignment="1">
      <alignment horizontal="center" vertical="center"/>
    </xf>
    <xf numFmtId="211" fontId="17" fillId="16" borderId="0" xfId="1" applyNumberFormat="1" applyFont="1" applyFill="1" applyBorder="1" applyAlignment="1">
      <alignment horizontal="center" vertical="center"/>
    </xf>
    <xf numFmtId="211" fontId="63" fillId="11" borderId="0" xfId="3" applyNumberFormat="1" applyFont="1" applyFill="1" applyBorder="1" applyAlignment="1">
      <alignment horizontal="center" vertical="center"/>
    </xf>
    <xf numFmtId="192" fontId="372" fillId="5" borderId="0" xfId="1" applyNumberFormat="1" applyFont="1" applyFill="1" applyBorder="1" applyAlignment="1">
      <alignment horizontal="center" vertical="center"/>
    </xf>
    <xf numFmtId="196" fontId="56" fillId="11" borderId="6" xfId="3" applyNumberFormat="1" applyFont="1" applyFill="1" applyBorder="1" applyAlignment="1">
      <alignment horizontal="center" vertical="center"/>
    </xf>
    <xf numFmtId="164" fontId="17" fillId="43" borderId="3" xfId="0" applyNumberFormat="1" applyFont="1" applyFill="1" applyBorder="1" applyAlignment="1">
      <alignment horizontal="center" vertical="center"/>
    </xf>
    <xf numFmtId="196" fontId="21" fillId="11" borderId="0" xfId="3" applyNumberFormat="1" applyFont="1" applyFill="1" applyBorder="1" applyAlignment="1">
      <alignment horizontal="center" vertical="center"/>
    </xf>
    <xf numFmtId="196" fontId="56" fillId="43" borderId="3" xfId="3" applyNumberFormat="1" applyFont="1" applyFill="1" applyBorder="1" applyAlignment="1">
      <alignment horizontal="center" vertical="center"/>
    </xf>
    <xf numFmtId="196" fontId="17" fillId="43" borderId="3" xfId="0" applyNumberFormat="1" applyFont="1" applyFill="1" applyBorder="1" applyAlignment="1">
      <alignment horizontal="center" vertical="center"/>
    </xf>
    <xf numFmtId="196" fontId="21" fillId="11" borderId="158" xfId="3" applyNumberFormat="1" applyFont="1" applyFill="1" applyBorder="1" applyAlignment="1">
      <alignment horizontal="center" vertical="center"/>
    </xf>
    <xf numFmtId="211" fontId="17" fillId="16" borderId="5" xfId="1" applyNumberFormat="1" applyFont="1" applyFill="1" applyBorder="1" applyAlignment="1">
      <alignment horizontal="center" vertical="center"/>
    </xf>
    <xf numFmtId="164" fontId="224" fillId="70" borderId="193" xfId="3" applyNumberFormat="1" applyFont="1" applyFill="1" applyBorder="1" applyAlignment="1">
      <alignment horizontal="center" vertical="center"/>
    </xf>
    <xf numFmtId="0" fontId="338" fillId="36" borderId="36" xfId="2" applyFont="1" applyFill="1" applyBorder="1" applyAlignment="1" applyProtection="1">
      <alignment horizontal="center" vertical="center"/>
      <protection locked="0"/>
    </xf>
    <xf numFmtId="167" fontId="373" fillId="36" borderId="19" xfId="2" applyNumberFormat="1" applyFont="1" applyFill="1" applyBorder="1" applyAlignment="1">
      <alignment horizontal="left" vertical="center" wrapText="1"/>
    </xf>
    <xf numFmtId="164" fontId="338" fillId="36" borderId="19" xfId="3" applyNumberFormat="1" applyFont="1" applyFill="1" applyBorder="1" applyAlignment="1">
      <alignment horizontal="center" vertical="center"/>
    </xf>
    <xf numFmtId="0" fontId="214" fillId="36" borderId="11" xfId="1" applyFont="1" applyFill="1" applyBorder="1" applyAlignment="1">
      <alignment horizontal="left" vertical="center"/>
    </xf>
    <xf numFmtId="0" fontId="374" fillId="36" borderId="0" xfId="1" applyFont="1" applyFill="1" applyBorder="1" applyAlignment="1">
      <alignment horizontal="center" vertical="center"/>
    </xf>
    <xf numFmtId="164" fontId="168" fillId="70" borderId="154" xfId="3" applyNumberFormat="1" applyFont="1" applyFill="1" applyBorder="1" applyAlignment="1">
      <alignment horizontal="center" vertical="center"/>
    </xf>
    <xf numFmtId="2" fontId="32" fillId="11" borderId="0" xfId="3" applyNumberFormat="1" applyFont="1" applyFill="1" applyBorder="1" applyAlignment="1">
      <alignment horizontal="center" vertical="center"/>
    </xf>
    <xf numFmtId="164" fontId="24" fillId="26" borderId="0" xfId="3" applyNumberFormat="1" applyFont="1" applyFill="1" applyBorder="1" applyAlignment="1">
      <alignment horizontal="center" vertical="center"/>
    </xf>
    <xf numFmtId="1" fontId="32" fillId="4" borderId="0" xfId="3" applyNumberFormat="1" applyFont="1" applyFill="1" applyBorder="1" applyAlignment="1">
      <alignment horizontal="center" vertical="center"/>
    </xf>
    <xf numFmtId="0" fontId="160" fillId="46" borderId="5" xfId="0" applyFont="1" applyFill="1" applyBorder="1" applyAlignment="1">
      <alignment vertical="center"/>
    </xf>
    <xf numFmtId="0" fontId="258" fillId="4" borderId="155" xfId="8" applyFont="1" applyFill="1" applyBorder="1" applyAlignment="1">
      <alignment vertical="center"/>
    </xf>
    <xf numFmtId="195" fontId="21" fillId="11" borderId="4" xfId="3" applyNumberFormat="1" applyFont="1" applyFill="1" applyBorder="1" applyAlignment="1">
      <alignment horizontal="center" vertical="center"/>
    </xf>
    <xf numFmtId="196" fontId="21" fillId="11" borderId="4" xfId="3" applyNumberFormat="1" applyFont="1" applyFill="1" applyBorder="1" applyAlignment="1">
      <alignment horizontal="center" vertical="center"/>
    </xf>
    <xf numFmtId="0" fontId="340" fillId="26" borderId="5" xfId="0" applyFont="1" applyFill="1" applyBorder="1" applyAlignment="1">
      <alignment horizontal="center" vertical="center"/>
    </xf>
    <xf numFmtId="165" fontId="17" fillId="81" borderId="5" xfId="19" applyNumberFormat="1" applyFont="1" applyFill="1" applyBorder="1" applyAlignment="1">
      <alignment horizontal="center" vertical="center"/>
    </xf>
    <xf numFmtId="0" fontId="11" fillId="4" borderId="0" xfId="1" applyFont="1" applyFill="1" applyBorder="1" applyAlignment="1" applyProtection="1">
      <alignment horizontal="left" vertical="center"/>
      <protection hidden="1"/>
    </xf>
    <xf numFmtId="0" fontId="176" fillId="2" borderId="53" xfId="2" applyFont="1" applyFill="1" applyBorder="1" applyAlignment="1" applyProtection="1">
      <alignment vertical="center"/>
      <protection locked="0"/>
    </xf>
    <xf numFmtId="0" fontId="372" fillId="2" borderId="6" xfId="2" applyFont="1" applyFill="1" applyBorder="1" applyAlignment="1" applyProtection="1">
      <alignment horizontal="left" vertical="center"/>
      <protection locked="0"/>
    </xf>
    <xf numFmtId="0" fontId="176" fillId="2" borderId="53" xfId="2" applyFont="1" applyFill="1" applyBorder="1" applyAlignment="1" applyProtection="1">
      <alignment horizontal="center" vertical="center"/>
      <protection locked="0"/>
    </xf>
    <xf numFmtId="169" fontId="51" fillId="22" borderId="153" xfId="2" applyNumberFormat="1" applyFont="1" applyFill="1" applyBorder="1" applyAlignment="1" applyProtection="1">
      <alignment horizontal="center" vertical="center"/>
      <protection locked="0"/>
    </xf>
    <xf numFmtId="1" fontId="76" fillId="4" borderId="154" xfId="3" applyNumberFormat="1" applyFont="1" applyFill="1" applyBorder="1" applyAlignment="1">
      <alignment horizontal="center" vertical="center"/>
    </xf>
    <xf numFmtId="0" fontId="232" fillId="77" borderId="0" xfId="0" applyFont="1" applyFill="1" applyBorder="1" applyAlignment="1">
      <alignment horizontal="right" vertical="center"/>
    </xf>
    <xf numFmtId="169" fontId="13" fillId="22" borderId="153" xfId="2" applyNumberFormat="1" applyFont="1" applyFill="1" applyBorder="1" applyAlignment="1" applyProtection="1">
      <alignment horizontal="center" vertical="center"/>
      <protection locked="0"/>
    </xf>
    <xf numFmtId="0" fontId="235" fillId="4" borderId="0" xfId="0" applyFont="1" applyFill="1" applyBorder="1" applyAlignment="1">
      <alignment horizontal="center" vertical="center"/>
    </xf>
    <xf numFmtId="0" fontId="326" fillId="4" borderId="0" xfId="1" applyNumberFormat="1" applyFont="1" applyFill="1" applyAlignment="1">
      <alignment horizontal="center" vertical="center"/>
    </xf>
    <xf numFmtId="2" fontId="57" fillId="16" borderId="0" xfId="1" applyNumberFormat="1" applyFont="1" applyFill="1" applyBorder="1" applyAlignment="1">
      <alignment horizontal="center" vertical="center" wrapText="1"/>
    </xf>
    <xf numFmtId="0" fontId="0" fillId="4" borderId="145" xfId="0" applyFill="1" applyBorder="1" applyAlignment="1">
      <alignment horizontal="center" vertical="center"/>
    </xf>
    <xf numFmtId="0" fontId="235" fillId="37" borderId="0" xfId="0" applyFont="1" applyFill="1" applyBorder="1" applyAlignment="1">
      <alignment horizontal="center" vertical="center"/>
    </xf>
    <xf numFmtId="0" fontId="82" fillId="4" borderId="145" xfId="1" applyFont="1" applyFill="1" applyBorder="1" applyAlignment="1" applyProtection="1">
      <alignment horizontal="center" vertical="center"/>
      <protection hidden="1"/>
    </xf>
    <xf numFmtId="2" fontId="57" fillId="16" borderId="6" xfId="1" applyNumberFormat="1" applyFont="1" applyFill="1" applyBorder="1" applyAlignment="1">
      <alignment horizontal="center" vertical="center" wrapText="1"/>
    </xf>
    <xf numFmtId="0" fontId="66" fillId="2" borderId="0" xfId="0" applyFont="1" applyFill="1" applyBorder="1" applyAlignment="1">
      <alignment horizontal="left" vertical="center"/>
    </xf>
    <xf numFmtId="0" fontId="220" fillId="11" borderId="0" xfId="1" applyFont="1" applyFill="1" applyBorder="1" applyAlignment="1" applyProtection="1">
      <alignment horizontal="center" vertical="center" wrapText="1"/>
      <protection hidden="1"/>
    </xf>
    <xf numFmtId="2" fontId="375" fillId="0" borderId="207" xfId="2" applyNumberFormat="1" applyFont="1" applyFill="1" applyBorder="1" applyAlignment="1">
      <alignment horizontal="center"/>
    </xf>
    <xf numFmtId="2" fontId="376" fillId="0" borderId="207" xfId="2" applyNumberFormat="1" applyFont="1" applyFill="1" applyBorder="1" applyAlignment="1">
      <alignment horizontal="center" textRotation="90"/>
    </xf>
    <xf numFmtId="0" fontId="375" fillId="0" borderId="0" xfId="0" applyFont="1"/>
    <xf numFmtId="0" fontId="0" fillId="0" borderId="0" xfId="0" applyFill="1"/>
    <xf numFmtId="0" fontId="243" fillId="0" borderId="0" xfId="0" applyFont="1" applyFill="1" applyBorder="1" applyAlignment="1">
      <alignment horizontal="center" vertical="center"/>
    </xf>
    <xf numFmtId="0" fontId="0" fillId="78" borderId="0" xfId="0" applyFill="1"/>
    <xf numFmtId="0" fontId="16" fillId="7" borderId="190" xfId="0" applyFont="1" applyFill="1" applyBorder="1" applyAlignment="1">
      <alignment vertical="center"/>
    </xf>
    <xf numFmtId="0" fontId="0" fillId="4" borderId="208" xfId="0" applyFill="1" applyBorder="1" applyAlignment="1">
      <alignment horizontal="center" vertical="center"/>
    </xf>
    <xf numFmtId="0" fontId="12" fillId="2" borderId="210" xfId="2" applyFont="1" applyFill="1" applyBorder="1" applyAlignment="1" applyProtection="1">
      <alignment horizontal="center" vertical="center"/>
      <protection locked="0"/>
    </xf>
    <xf numFmtId="0" fontId="26" fillId="4" borderId="208" xfId="0" applyFont="1" applyFill="1" applyBorder="1" applyAlignment="1">
      <alignment horizontal="left" vertical="center"/>
    </xf>
    <xf numFmtId="0" fontId="0" fillId="4" borderId="208" xfId="0" applyFill="1" applyBorder="1" applyAlignment="1">
      <alignment vertical="center" wrapText="1"/>
    </xf>
    <xf numFmtId="0" fontId="26" fillId="4" borderId="208" xfId="0" applyFont="1" applyFill="1" applyBorder="1" applyAlignment="1">
      <alignment horizontal="right" vertical="center"/>
    </xf>
    <xf numFmtId="0" fontId="42" fillId="72" borderId="0" xfId="21" applyNumberFormat="1" applyFont="1" applyFill="1" applyBorder="1" applyAlignment="1">
      <alignment horizontal="left" vertical="center"/>
    </xf>
    <xf numFmtId="0" fontId="9" fillId="72" borderId="0" xfId="21" applyNumberFormat="1" applyFont="1" applyFill="1" applyBorder="1" applyAlignment="1">
      <alignment horizontal="left" vertical="center"/>
    </xf>
    <xf numFmtId="0" fontId="77" fillId="72" borderId="5" xfId="21" applyNumberFormat="1" applyFont="1" applyFill="1" applyBorder="1" applyAlignment="1">
      <alignment horizontal="center" vertical="center"/>
    </xf>
    <xf numFmtId="167" fontId="57" fillId="4" borderId="203" xfId="3" applyNumberFormat="1" applyFont="1" applyFill="1" applyBorder="1" applyAlignment="1">
      <alignment horizontal="center"/>
    </xf>
    <xf numFmtId="0" fontId="63" fillId="4" borderId="145" xfId="2" applyFont="1" applyFill="1" applyBorder="1" applyAlignment="1" applyProtection="1">
      <alignment horizontal="center" vertical="center"/>
      <protection locked="0"/>
    </xf>
    <xf numFmtId="0" fontId="11" fillId="4" borderId="145" xfId="0" applyFont="1" applyFill="1" applyBorder="1" applyAlignment="1">
      <alignment horizontal="right" vertical="center"/>
    </xf>
    <xf numFmtId="173" fontId="11" fillId="4" borderId="145" xfId="2" applyNumberFormat="1" applyFont="1" applyFill="1" applyBorder="1" applyAlignment="1">
      <alignment horizontal="left" vertical="center"/>
    </xf>
    <xf numFmtId="0" fontId="11" fillId="4" borderId="145" xfId="2" applyFont="1" applyFill="1" applyBorder="1" applyAlignment="1">
      <alignment horizontal="right" vertical="center"/>
    </xf>
    <xf numFmtId="0" fontId="377" fillId="4" borderId="0" xfId="1" applyFont="1" applyFill="1" applyBorder="1" applyAlignment="1">
      <alignment horizontal="center" vertical="center"/>
    </xf>
    <xf numFmtId="0" fontId="6" fillId="23" borderId="147" xfId="1" applyFont="1" applyFill="1" applyBorder="1" applyAlignment="1" applyProtection="1">
      <alignment horizontal="center" vertical="center"/>
      <protection hidden="1"/>
    </xf>
    <xf numFmtId="0" fontId="6" fillId="23" borderId="145" xfId="1" applyFont="1" applyFill="1" applyBorder="1" applyAlignment="1" applyProtection="1">
      <alignment horizontal="center" vertical="center" wrapText="1"/>
      <protection hidden="1"/>
    </xf>
    <xf numFmtId="0" fontId="54" fillId="23" borderId="145" xfId="1" applyFont="1" applyFill="1" applyBorder="1" applyAlignment="1" applyProtection="1">
      <alignment horizontal="center" vertical="center"/>
      <protection hidden="1"/>
    </xf>
    <xf numFmtId="0" fontId="231" fillId="23" borderId="145" xfId="1" applyFont="1" applyFill="1" applyBorder="1" applyAlignment="1" applyProtection="1">
      <alignment horizontal="center" vertical="center"/>
      <protection hidden="1"/>
    </xf>
    <xf numFmtId="0" fontId="338" fillId="36" borderId="204" xfId="2" applyFont="1" applyFill="1" applyBorder="1" applyAlignment="1" applyProtection="1">
      <alignment horizontal="center" vertical="center"/>
      <protection locked="0"/>
    </xf>
    <xf numFmtId="167" fontId="373" fillId="36" borderId="203" xfId="2" applyNumberFormat="1" applyFont="1" applyFill="1" applyBorder="1" applyAlignment="1">
      <alignment horizontal="left" vertical="center" wrapText="1"/>
    </xf>
    <xf numFmtId="164" fontId="338" fillId="36" borderId="203" xfId="3" applyNumberFormat="1" applyFont="1" applyFill="1" applyBorder="1" applyAlignment="1">
      <alignment horizontal="center" vertical="center"/>
    </xf>
    <xf numFmtId="165" fontId="17" fillId="81" borderId="6" xfId="21" applyNumberFormat="1" applyFont="1" applyFill="1" applyBorder="1" applyAlignment="1">
      <alignment horizontal="center" vertical="center"/>
    </xf>
    <xf numFmtId="165" fontId="77" fillId="72" borderId="5" xfId="21" applyNumberFormat="1" applyFont="1" applyFill="1" applyBorder="1" applyAlignment="1">
      <alignment horizontal="center" vertical="center"/>
    </xf>
    <xf numFmtId="0" fontId="70" fillId="30" borderId="3" xfId="0" applyFont="1" applyFill="1" applyBorder="1" applyAlignment="1">
      <alignment horizontal="center" vertical="center"/>
    </xf>
    <xf numFmtId="0" fontId="14" fillId="4" borderId="3" xfId="0" applyFont="1" applyFill="1" applyBorder="1" applyAlignment="1">
      <alignment vertical="center"/>
    </xf>
    <xf numFmtId="0" fontId="14" fillId="4" borderId="2" xfId="0" applyFont="1" applyFill="1" applyBorder="1" applyAlignment="1">
      <alignment vertical="center"/>
    </xf>
    <xf numFmtId="0" fontId="28" fillId="4" borderId="13" xfId="0" applyFont="1" applyFill="1" applyBorder="1" applyAlignment="1">
      <alignment horizontal="center" vertical="center"/>
    </xf>
    <xf numFmtId="0" fontId="341" fillId="70" borderId="211" xfId="0" applyFont="1" applyFill="1" applyBorder="1" applyAlignment="1">
      <alignment horizontal="center" vertical="center"/>
    </xf>
    <xf numFmtId="0" fontId="175" fillId="4" borderId="2" xfId="0" applyFont="1" applyFill="1" applyBorder="1" applyAlignment="1">
      <alignment horizontal="left" vertical="center"/>
    </xf>
    <xf numFmtId="0" fontId="177" fillId="4" borderId="3" xfId="0" applyFont="1" applyFill="1" applyBorder="1" applyAlignment="1">
      <alignment vertical="center"/>
    </xf>
    <xf numFmtId="0" fontId="341" fillId="4" borderId="3" xfId="0" applyFont="1" applyFill="1" applyBorder="1" applyAlignment="1">
      <alignment horizontal="right" vertical="center"/>
    </xf>
    <xf numFmtId="0" fontId="70" fillId="77" borderId="0" xfId="0" applyFont="1" applyFill="1" applyBorder="1" applyAlignment="1">
      <alignment vertical="center" wrapText="1"/>
    </xf>
    <xf numFmtId="0" fontId="28" fillId="4" borderId="11" xfId="0" applyFont="1" applyFill="1" applyBorder="1" applyAlignment="1">
      <alignment horizontal="center" vertical="center"/>
    </xf>
    <xf numFmtId="166" fontId="168" fillId="70" borderId="214" xfId="3" applyNumberFormat="1" applyFont="1" applyFill="1" applyBorder="1" applyAlignment="1">
      <alignment horizontal="center" vertical="center"/>
    </xf>
    <xf numFmtId="0" fontId="88" fillId="4" borderId="185" xfId="0" applyFont="1" applyFill="1" applyBorder="1" applyAlignment="1">
      <alignment horizontal="left" vertical="center"/>
    </xf>
    <xf numFmtId="0" fontId="177" fillId="4" borderId="215" xfId="0" applyFont="1" applyFill="1" applyBorder="1" applyAlignment="1">
      <alignment vertical="center"/>
    </xf>
    <xf numFmtId="0" fontId="378" fillId="4" borderId="0" xfId="0" applyFont="1" applyFill="1" applyBorder="1" applyAlignment="1">
      <alignment horizontal="right" vertical="center"/>
    </xf>
    <xf numFmtId="169" fontId="132" fillId="22" borderId="211" xfId="2" applyNumberFormat="1" applyFont="1" applyFill="1" applyBorder="1" applyAlignment="1" applyProtection="1">
      <alignment horizontal="center" vertical="center"/>
      <protection locked="0"/>
    </xf>
    <xf numFmtId="0" fontId="379" fillId="4" borderId="0" xfId="0" applyFont="1" applyFill="1" applyBorder="1" applyAlignment="1">
      <alignment horizontal="left" vertical="center"/>
    </xf>
    <xf numFmtId="0" fontId="177" fillId="4" borderId="0" xfId="0" applyFont="1" applyFill="1" applyBorder="1" applyAlignment="1">
      <alignment vertical="center"/>
    </xf>
    <xf numFmtId="0" fontId="175" fillId="4" borderId="0" xfId="0" applyFont="1" applyFill="1" applyBorder="1" applyAlignment="1">
      <alignment horizontal="right" vertical="center"/>
    </xf>
    <xf numFmtId="0" fontId="28" fillId="4" borderId="213" xfId="0" applyFont="1" applyFill="1" applyBorder="1" applyAlignment="1">
      <alignment horizontal="center" vertical="center"/>
    </xf>
    <xf numFmtId="1" fontId="341" fillId="4" borderId="214" xfId="3" applyNumberFormat="1" applyFont="1" applyFill="1" applyBorder="1" applyAlignment="1">
      <alignment horizontal="center" vertical="center"/>
    </xf>
    <xf numFmtId="0" fontId="175" fillId="4" borderId="4" xfId="0" applyFont="1" applyFill="1" applyBorder="1" applyAlignment="1">
      <alignment horizontal="left" vertical="center"/>
    </xf>
    <xf numFmtId="0" fontId="177" fillId="4" borderId="4" xfId="0" applyFont="1" applyFill="1" applyBorder="1" applyAlignment="1">
      <alignment vertical="center"/>
    </xf>
    <xf numFmtId="0" fontId="175" fillId="4" borderId="4" xfId="0" applyFont="1" applyFill="1" applyBorder="1" applyAlignment="1">
      <alignment horizontal="right" vertical="center"/>
    </xf>
    <xf numFmtId="0" fontId="160" fillId="93" borderId="0" xfId="0" applyFont="1" applyFill="1" applyBorder="1" applyAlignment="1">
      <alignment horizontal="right" vertical="center"/>
    </xf>
    <xf numFmtId="0" fontId="0" fillId="4" borderId="217" xfId="0" applyFill="1" applyBorder="1"/>
    <xf numFmtId="0" fontId="338" fillId="36" borderId="6" xfId="1" applyFont="1" applyFill="1" applyBorder="1" applyAlignment="1">
      <alignment horizontal="left" vertical="center"/>
    </xf>
    <xf numFmtId="0" fontId="223" fillId="36" borderId="0" xfId="1" applyFont="1" applyFill="1" applyBorder="1" applyAlignment="1">
      <alignment horizontal="center" vertical="center"/>
    </xf>
    <xf numFmtId="0" fontId="215" fillId="36" borderId="5" xfId="1" applyFont="1" applyFill="1" applyBorder="1" applyAlignment="1">
      <alignment horizontal="center" vertical="center"/>
    </xf>
    <xf numFmtId="0" fontId="42" fillId="72" borderId="6" xfId="21" applyNumberFormat="1" applyFont="1" applyFill="1" applyBorder="1" applyAlignment="1">
      <alignment horizontal="left" vertical="center"/>
    </xf>
    <xf numFmtId="166" fontId="12" fillId="72" borderId="5" xfId="21" applyNumberFormat="1" applyFont="1" applyFill="1" applyBorder="1" applyAlignment="1">
      <alignment horizontal="center" vertical="center"/>
    </xf>
    <xf numFmtId="0" fontId="232" fillId="77" borderId="6" xfId="0" applyFont="1" applyFill="1" applyBorder="1" applyAlignment="1">
      <alignment vertical="center"/>
    </xf>
    <xf numFmtId="0" fontId="232" fillId="77" borderId="0" xfId="0" applyFont="1" applyFill="1" applyBorder="1" applyAlignment="1">
      <alignment vertical="center"/>
    </xf>
    <xf numFmtId="0" fontId="12" fillId="2" borderId="205" xfId="2" applyFont="1" applyFill="1" applyBorder="1" applyAlignment="1" applyProtection="1">
      <alignment horizontal="center" vertical="center"/>
      <protection locked="0"/>
    </xf>
    <xf numFmtId="0" fontId="26" fillId="4" borderId="206" xfId="0" applyFont="1" applyFill="1" applyBorder="1" applyAlignment="1">
      <alignment horizontal="right" vertical="center"/>
    </xf>
    <xf numFmtId="0" fontId="233" fillId="4" borderId="5" xfId="0" applyFont="1" applyFill="1" applyBorder="1" applyAlignment="1">
      <alignment vertical="center"/>
    </xf>
    <xf numFmtId="164" fontId="338" fillId="22" borderId="203" xfId="3" applyNumberFormat="1" applyFont="1" applyFill="1" applyBorder="1" applyAlignment="1">
      <alignment horizontal="center" vertical="center"/>
    </xf>
    <xf numFmtId="167" fontId="373" fillId="22" borderId="19" xfId="2" applyNumberFormat="1" applyFont="1" applyFill="1" applyBorder="1" applyAlignment="1">
      <alignment horizontal="left" vertical="center" wrapText="1"/>
    </xf>
    <xf numFmtId="166" fontId="338" fillId="22" borderId="18" xfId="3" applyNumberFormat="1" applyFont="1" applyFill="1" applyBorder="1" applyAlignment="1">
      <alignment horizontal="center" vertical="center"/>
    </xf>
    <xf numFmtId="166" fontId="338" fillId="22" borderId="19" xfId="3" applyNumberFormat="1" applyFont="1" applyFill="1" applyBorder="1" applyAlignment="1">
      <alignment horizontal="center" vertical="center"/>
    </xf>
    <xf numFmtId="0" fontId="338" fillId="22" borderId="204" xfId="2" applyFont="1" applyFill="1" applyBorder="1" applyAlignment="1" applyProtection="1">
      <alignment horizontal="center" vertical="center"/>
      <protection locked="0"/>
    </xf>
    <xf numFmtId="164" fontId="380" fillId="22" borderId="204" xfId="3" applyNumberFormat="1" applyFont="1" applyFill="1" applyBorder="1" applyAlignment="1">
      <alignment horizontal="center" vertical="center"/>
    </xf>
    <xf numFmtId="167" fontId="246" fillId="4" borderId="209" xfId="3" applyNumberFormat="1" applyFont="1" applyFill="1" applyBorder="1" applyAlignment="1">
      <alignment horizontal="center" wrapText="1"/>
    </xf>
    <xf numFmtId="167" fontId="246" fillId="4" borderId="180" xfId="3" applyNumberFormat="1" applyFont="1" applyFill="1" applyBorder="1" applyAlignment="1">
      <alignment horizontal="center" wrapText="1"/>
    </xf>
    <xf numFmtId="0" fontId="74" fillId="8" borderId="0" xfId="0" applyFont="1" applyFill="1" applyAlignment="1">
      <alignment horizontal="right"/>
    </xf>
    <xf numFmtId="166" fontId="74" fillId="8" borderId="0" xfId="0" applyNumberFormat="1" applyFont="1" applyFill="1" applyAlignment="1">
      <alignment horizontal="center"/>
    </xf>
    <xf numFmtId="166" fontId="24" fillId="26" borderId="180" xfId="3" applyNumberFormat="1" applyFont="1" applyFill="1" applyBorder="1" applyAlignment="1">
      <alignment horizontal="center" vertical="center"/>
    </xf>
    <xf numFmtId="166" fontId="31" fillId="16" borderId="6" xfId="1" applyNumberFormat="1" applyFont="1" applyFill="1" applyBorder="1" applyAlignment="1">
      <alignment horizontal="center" vertical="center"/>
    </xf>
    <xf numFmtId="2" fontId="26" fillId="16" borderId="0" xfId="1" applyNumberFormat="1" applyFont="1" applyFill="1" applyBorder="1" applyAlignment="1">
      <alignment horizontal="left" vertical="center"/>
    </xf>
    <xf numFmtId="166" fontId="30" fillId="33" borderId="6" xfId="1" applyNumberFormat="1" applyFont="1" applyFill="1" applyBorder="1" applyAlignment="1">
      <alignment horizontal="center" vertical="center"/>
    </xf>
    <xf numFmtId="2" fontId="182" fillId="16" borderId="5" xfId="1" applyNumberFormat="1" applyFont="1" applyFill="1" applyBorder="1" applyAlignment="1">
      <alignment vertical="center"/>
    </xf>
    <xf numFmtId="167" fontId="383" fillId="8" borderId="0" xfId="3" applyNumberFormat="1" applyFont="1" applyFill="1" applyBorder="1" applyAlignment="1">
      <alignment horizontal="right" vertical="center"/>
    </xf>
    <xf numFmtId="2" fontId="74" fillId="8" borderId="0" xfId="2" applyNumberFormat="1" applyFont="1" applyFill="1" applyBorder="1" applyAlignment="1" applyProtection="1">
      <alignment horizontal="center" vertical="center"/>
      <protection locked="0"/>
    </xf>
    <xf numFmtId="0" fontId="12" fillId="2" borderId="200" xfId="2" applyFont="1" applyFill="1" applyBorder="1" applyAlignment="1" applyProtection="1">
      <alignment horizontal="center" vertical="center"/>
      <protection locked="0"/>
    </xf>
    <xf numFmtId="0" fontId="17" fillId="4" borderId="208" xfId="0" applyFont="1" applyFill="1" applyBorder="1" applyAlignment="1">
      <alignment horizontal="right" vertical="center"/>
    </xf>
    <xf numFmtId="166" fontId="24" fillId="26" borderId="209" xfId="3" applyNumberFormat="1" applyFont="1" applyFill="1" applyBorder="1" applyAlignment="1">
      <alignment horizontal="center" vertical="center"/>
    </xf>
    <xf numFmtId="166" fontId="41" fillId="70" borderId="147" xfId="3" applyNumberFormat="1" applyFont="1" applyFill="1" applyBorder="1" applyAlignment="1">
      <alignment horizontal="center" vertical="center"/>
    </xf>
    <xf numFmtId="0" fontId="0" fillId="0" borderId="145" xfId="0" applyBorder="1"/>
    <xf numFmtId="0" fontId="384" fillId="4" borderId="145" xfId="0" applyFont="1" applyFill="1" applyBorder="1" applyAlignment="1">
      <alignment horizontal="right" vertical="center"/>
    </xf>
    <xf numFmtId="2" fontId="381" fillId="70" borderId="30" xfId="3" applyNumberFormat="1" applyFont="1" applyFill="1" applyBorder="1" applyAlignment="1">
      <alignment vertical="center"/>
    </xf>
    <xf numFmtId="0" fontId="76" fillId="21" borderId="180" xfId="2" applyFont="1" applyFill="1" applyBorder="1" applyAlignment="1" applyProtection="1">
      <alignment horizontal="center" vertical="center"/>
      <protection locked="0"/>
    </xf>
    <xf numFmtId="1" fontId="17" fillId="16" borderId="0" xfId="1" applyNumberFormat="1" applyFont="1" applyFill="1" applyBorder="1" applyAlignment="1">
      <alignment horizontal="center" vertical="center"/>
    </xf>
    <xf numFmtId="1" fontId="17" fillId="16" borderId="5" xfId="1" applyNumberFormat="1" applyFont="1" applyFill="1" applyBorder="1" applyAlignment="1">
      <alignment horizontal="center" vertical="center"/>
    </xf>
    <xf numFmtId="0" fontId="385" fillId="14" borderId="0" xfId="1" applyNumberFormat="1" applyFont="1" applyFill="1" applyBorder="1" applyAlignment="1">
      <alignment horizontal="center" vertical="center"/>
    </xf>
    <xf numFmtId="0" fontId="70" fillId="22" borderId="0" xfId="0" applyFont="1" applyFill="1" applyBorder="1" applyAlignment="1">
      <alignment vertical="center" wrapText="1"/>
    </xf>
    <xf numFmtId="0" fontId="70" fillId="22" borderId="0" xfId="0" applyFont="1" applyFill="1" applyAlignment="1">
      <alignment vertical="center" wrapText="1"/>
    </xf>
    <xf numFmtId="0" fontId="232" fillId="22" borderId="0" xfId="0" applyFont="1" applyFill="1" applyAlignment="1">
      <alignment horizontal="right" vertical="center"/>
    </xf>
    <xf numFmtId="168" fontId="239" fillId="23" borderId="143" xfId="1" applyNumberFormat="1" applyFont="1" applyFill="1" applyBorder="1" applyAlignment="1" applyProtection="1">
      <alignment horizontal="center" vertical="center"/>
      <protection hidden="1"/>
    </xf>
    <xf numFmtId="0" fontId="239" fillId="23" borderId="145" xfId="1" applyFont="1" applyFill="1" applyBorder="1" applyAlignment="1" applyProtection="1">
      <alignment horizontal="right" vertical="center" wrapText="1"/>
      <protection hidden="1"/>
    </xf>
    <xf numFmtId="169" fontId="39" fillId="4" borderId="218" xfId="2" applyNumberFormat="1" applyFont="1" applyFill="1" applyBorder="1" applyAlignment="1">
      <alignment horizontal="right" vertical="center"/>
    </xf>
    <xf numFmtId="167" fontId="7" fillId="4" borderId="219" xfId="2" applyNumberFormat="1" applyFont="1" applyFill="1" applyBorder="1" applyAlignment="1">
      <alignment horizontal="left" vertical="center"/>
    </xf>
    <xf numFmtId="169" fontId="39" fillId="4" borderId="220" xfId="2" applyNumberFormat="1" applyFont="1" applyFill="1" applyBorder="1" applyAlignment="1">
      <alignment horizontal="right" vertical="center"/>
    </xf>
    <xf numFmtId="167" fontId="7" fillId="4" borderId="221" xfId="2" applyNumberFormat="1" applyFont="1" applyFill="1" applyBorder="1" applyAlignment="1">
      <alignment horizontal="left" vertical="center"/>
    </xf>
    <xf numFmtId="166" fontId="38" fillId="4" borderId="221" xfId="3" applyNumberFormat="1" applyFont="1" applyFill="1" applyBorder="1" applyAlignment="1">
      <alignment horizontal="center" vertical="center"/>
    </xf>
    <xf numFmtId="165" fontId="181" fillId="24" borderId="221" xfId="1" applyNumberFormat="1" applyFont="1" applyFill="1" applyBorder="1" applyAlignment="1">
      <alignment horizontal="center" vertical="center" wrapText="1"/>
    </xf>
    <xf numFmtId="166" fontId="38" fillId="4" borderId="222" xfId="3" applyNumberFormat="1" applyFont="1" applyFill="1" applyBorder="1" applyAlignment="1">
      <alignment horizontal="center" vertical="center"/>
    </xf>
    <xf numFmtId="0" fontId="17" fillId="14" borderId="144" xfId="1" applyNumberFormat="1" applyFont="1" applyFill="1" applyBorder="1" applyAlignment="1">
      <alignment horizontal="center" vertical="center"/>
    </xf>
    <xf numFmtId="0" fontId="17" fillId="14" borderId="0" xfId="1" applyNumberFormat="1" applyFont="1" applyFill="1" applyBorder="1" applyAlignment="1">
      <alignment horizontal="center" vertical="center"/>
    </xf>
    <xf numFmtId="0" fontId="17" fillId="14" borderId="181" xfId="1" applyNumberFormat="1" applyFont="1" applyFill="1" applyBorder="1" applyAlignment="1">
      <alignment horizontal="center" vertical="center"/>
    </xf>
    <xf numFmtId="196" fontId="38" fillId="4" borderId="222" xfId="3" applyNumberFormat="1" applyFont="1" applyFill="1" applyBorder="1" applyAlignment="1">
      <alignment horizontal="center" vertical="center"/>
    </xf>
    <xf numFmtId="0" fontId="53" fillId="26" borderId="226" xfId="3" applyNumberFormat="1" applyFont="1" applyFill="1" applyBorder="1" applyAlignment="1">
      <alignment horizontal="center" vertical="center"/>
    </xf>
    <xf numFmtId="0" fontId="382" fillId="4" borderId="227" xfId="1" applyFont="1" applyFill="1" applyBorder="1" applyAlignment="1" applyProtection="1">
      <alignment horizontal="right" vertical="center"/>
      <protection hidden="1"/>
    </xf>
    <xf numFmtId="166" fontId="53" fillId="26" borderId="232" xfId="3" applyNumberFormat="1" applyFont="1" applyFill="1" applyBorder="1" applyAlignment="1">
      <alignment horizontal="center" vertical="center"/>
    </xf>
    <xf numFmtId="0" fontId="65" fillId="4" borderId="233" xfId="1" applyFont="1" applyFill="1" applyBorder="1" applyAlignment="1" applyProtection="1">
      <alignment horizontal="right" vertical="center"/>
      <protection hidden="1"/>
    </xf>
    <xf numFmtId="169" fontId="37" fillId="4" borderId="0" xfId="2" applyNumberFormat="1" applyFont="1" applyFill="1" applyBorder="1" applyAlignment="1">
      <alignment horizontal="left" vertical="center"/>
    </xf>
    <xf numFmtId="164" fontId="38" fillId="4" borderId="235" xfId="3" applyNumberFormat="1" applyFont="1" applyFill="1" applyBorder="1" applyAlignment="1">
      <alignment horizontal="center" vertical="center"/>
    </xf>
    <xf numFmtId="10" fontId="17" fillId="81" borderId="5" xfId="19" applyNumberFormat="1" applyFont="1" applyFill="1" applyBorder="1" applyAlignment="1">
      <alignment horizontal="center" vertical="center"/>
    </xf>
    <xf numFmtId="213" fontId="38" fillId="4" borderId="235" xfId="3" applyNumberFormat="1" applyFont="1" applyFill="1" applyBorder="1" applyAlignment="1">
      <alignment horizontal="center" vertical="center"/>
    </xf>
    <xf numFmtId="169" fontId="166" fillId="4" borderId="218" xfId="2" applyNumberFormat="1" applyFont="1" applyFill="1" applyBorder="1" applyAlignment="1">
      <alignment horizontal="right" vertical="center"/>
    </xf>
    <xf numFmtId="165" fontId="181" fillId="24" borderId="236" xfId="1" applyNumberFormat="1" applyFont="1" applyFill="1" applyBorder="1" applyAlignment="1">
      <alignment horizontal="center" vertical="center" wrapText="1"/>
    </xf>
    <xf numFmtId="0" fontId="7" fillId="4" borderId="219" xfId="2" applyFont="1" applyFill="1" applyBorder="1" applyAlignment="1">
      <alignment horizontal="left" vertical="center"/>
    </xf>
    <xf numFmtId="1" fontId="168" fillId="4" borderId="218" xfId="2" applyNumberFormat="1" applyFont="1" applyFill="1" applyBorder="1" applyAlignment="1">
      <alignment horizontal="right" vertical="center"/>
    </xf>
    <xf numFmtId="0" fontId="170" fillId="4" borderId="219" xfId="2" applyFont="1" applyFill="1" applyBorder="1" applyAlignment="1">
      <alignment horizontal="left" vertical="center"/>
    </xf>
    <xf numFmtId="0" fontId="172" fillId="4" borderId="219" xfId="2" applyFont="1" applyFill="1" applyBorder="1" applyAlignment="1">
      <alignment horizontal="right" vertical="center"/>
    </xf>
    <xf numFmtId="169" fontId="173" fillId="4" borderId="218" xfId="2" applyNumberFormat="1" applyFont="1" applyFill="1" applyBorder="1" applyAlignment="1">
      <alignment horizontal="left" vertical="center"/>
    </xf>
    <xf numFmtId="0" fontId="173" fillId="4" borderId="219" xfId="2" applyFont="1" applyFill="1" applyBorder="1" applyAlignment="1">
      <alignment horizontal="left" vertical="center"/>
    </xf>
    <xf numFmtId="169" fontId="39" fillId="4" borderId="237" xfId="2" applyNumberFormat="1" applyFont="1" applyFill="1" applyBorder="1" applyAlignment="1">
      <alignment horizontal="right" vertical="center"/>
    </xf>
    <xf numFmtId="167" fontId="7" fillId="4" borderId="238" xfId="2" applyNumberFormat="1" applyFont="1" applyFill="1" applyBorder="1" applyAlignment="1">
      <alignment horizontal="left" vertical="center"/>
    </xf>
    <xf numFmtId="164" fontId="63" fillId="4" borderId="238" xfId="3" applyNumberFormat="1" applyFont="1" applyFill="1" applyBorder="1" applyAlignment="1">
      <alignment horizontal="center" vertical="center"/>
    </xf>
    <xf numFmtId="165" fontId="181" fillId="24" borderId="238" xfId="1" applyNumberFormat="1" applyFont="1" applyFill="1" applyBorder="1" applyAlignment="1">
      <alignment horizontal="center" vertical="center" wrapText="1"/>
    </xf>
    <xf numFmtId="196" fontId="38" fillId="4" borderId="239" xfId="3" applyNumberFormat="1" applyFont="1" applyFill="1" applyBorder="1" applyAlignment="1">
      <alignment horizontal="center" vertical="center"/>
    </xf>
    <xf numFmtId="0" fontId="20" fillId="29" borderId="240" xfId="4" applyFont="1" applyFill="1" applyBorder="1" applyAlignment="1">
      <alignment vertical="center"/>
    </xf>
    <xf numFmtId="166" fontId="41" fillId="70" borderId="176" xfId="3" applyNumberFormat="1" applyFont="1" applyFill="1" applyBorder="1" applyAlignment="1">
      <alignment horizontal="center" vertical="center"/>
    </xf>
    <xf numFmtId="0" fontId="0" fillId="4" borderId="145" xfId="0" applyFill="1" applyBorder="1" applyAlignment="1">
      <alignment horizontal="center" vertical="center"/>
    </xf>
    <xf numFmtId="0" fontId="70" fillId="77" borderId="5" xfId="0" applyFont="1" applyFill="1" applyBorder="1" applyAlignment="1">
      <alignment horizontal="center" vertical="center"/>
    </xf>
    <xf numFmtId="0" fontId="235" fillId="37" borderId="0" xfId="0" applyFont="1" applyFill="1" applyBorder="1" applyAlignment="1">
      <alignment horizontal="center" vertical="center"/>
    </xf>
    <xf numFmtId="0" fontId="235" fillId="37" borderId="5" xfId="0" applyFont="1" applyFill="1" applyBorder="1" applyAlignment="1">
      <alignment horizontal="center" vertical="center"/>
    </xf>
    <xf numFmtId="0" fontId="62" fillId="4" borderId="5" xfId="1" applyFont="1" applyFill="1" applyBorder="1" applyAlignment="1">
      <alignment horizontal="center" vertical="center"/>
    </xf>
    <xf numFmtId="0" fontId="239" fillId="23" borderId="6" xfId="1" applyFont="1" applyFill="1" applyBorder="1" applyAlignment="1" applyProtection="1">
      <alignment horizontal="center" vertical="center"/>
      <protection hidden="1"/>
    </xf>
    <xf numFmtId="0" fontId="239" fillId="23" borderId="0" xfId="1" applyFont="1" applyFill="1" applyBorder="1" applyAlignment="1" applyProtection="1">
      <alignment horizontal="center" vertical="center"/>
      <protection hidden="1"/>
    </xf>
    <xf numFmtId="0" fontId="179" fillId="2" borderId="6" xfId="0" applyFont="1" applyFill="1" applyBorder="1" applyAlignment="1">
      <alignment horizontal="left" vertical="center"/>
    </xf>
    <xf numFmtId="2" fontId="57" fillId="16" borderId="0" xfId="1" applyNumberFormat="1" applyFont="1" applyFill="1" applyBorder="1" applyAlignment="1">
      <alignment horizontal="center" vertical="center" wrapText="1"/>
    </xf>
    <xf numFmtId="0" fontId="70" fillId="30" borderId="0" xfId="0" applyFont="1" applyFill="1" applyBorder="1" applyAlignment="1">
      <alignment horizontal="center" vertical="center"/>
    </xf>
    <xf numFmtId="0" fontId="0" fillId="4" borderId="208" xfId="0" applyFill="1" applyBorder="1" applyAlignment="1">
      <alignment horizontal="center" vertical="center"/>
    </xf>
    <xf numFmtId="0" fontId="26" fillId="4" borderId="208" xfId="0" applyFont="1" applyFill="1" applyBorder="1" applyAlignment="1">
      <alignment horizontal="right" vertical="center"/>
    </xf>
    <xf numFmtId="0" fontId="82" fillId="4" borderId="145" xfId="1" applyFont="1" applyFill="1" applyBorder="1" applyAlignment="1" applyProtection="1">
      <alignment horizontal="center" vertical="center"/>
      <protection hidden="1"/>
    </xf>
    <xf numFmtId="166" fontId="34" fillId="19" borderId="145" xfId="3" applyNumberFormat="1" applyFont="1" applyFill="1" applyBorder="1" applyAlignment="1">
      <alignment horizontal="center" vertical="center"/>
    </xf>
    <xf numFmtId="0" fontId="62" fillId="4" borderId="0" xfId="1" applyFont="1" applyFill="1" applyBorder="1" applyAlignment="1">
      <alignment horizontal="right" vertical="center"/>
    </xf>
    <xf numFmtId="0" fontId="52" fillId="4" borderId="0" xfId="0" applyFont="1" applyFill="1" applyBorder="1" applyAlignment="1">
      <alignment horizontal="center" vertical="center" wrapText="1"/>
    </xf>
    <xf numFmtId="0" fontId="241" fillId="4" borderId="0" xfId="8" applyFont="1" applyFill="1" applyBorder="1" applyAlignment="1">
      <alignment horizontal="left" vertical="center"/>
    </xf>
    <xf numFmtId="0" fontId="224" fillId="4" borderId="0" xfId="0" applyFont="1" applyFill="1" applyBorder="1" applyAlignment="1">
      <alignment horizontal="center" wrapText="1"/>
    </xf>
    <xf numFmtId="0" fontId="211" fillId="14" borderId="150" xfId="1" applyNumberFormat="1" applyFont="1" applyFill="1" applyBorder="1" applyAlignment="1">
      <alignment horizontal="center" vertical="center"/>
    </xf>
    <xf numFmtId="0" fontId="211" fillId="14" borderId="1" xfId="1" applyNumberFormat="1" applyFont="1" applyFill="1" applyBorder="1" applyAlignment="1">
      <alignment horizontal="center" vertical="center"/>
    </xf>
    <xf numFmtId="0" fontId="211" fillId="5" borderId="1" xfId="1" applyNumberFormat="1" applyFont="1" applyFill="1" applyBorder="1" applyAlignment="1">
      <alignment horizontal="left" vertical="center"/>
    </xf>
    <xf numFmtId="0" fontId="211" fillId="5" borderId="1" xfId="1" applyNumberFormat="1" applyFont="1" applyFill="1" applyBorder="1" applyAlignment="1">
      <alignment horizontal="center" vertical="center"/>
    </xf>
    <xf numFmtId="0" fontId="211" fillId="5" borderId="149" xfId="1" applyNumberFormat="1" applyFont="1" applyFill="1" applyBorder="1" applyAlignment="1">
      <alignment horizontal="left" vertical="center"/>
    </xf>
    <xf numFmtId="0" fontId="211" fillId="5" borderId="150" xfId="1" applyNumberFormat="1" applyFont="1" applyFill="1" applyBorder="1" applyAlignment="1">
      <alignment horizontal="left" vertical="center"/>
    </xf>
    <xf numFmtId="0" fontId="211" fillId="75" borderId="0" xfId="1" applyNumberFormat="1" applyFont="1" applyFill="1" applyBorder="1" applyAlignment="1">
      <alignment horizontal="center" vertical="center" wrapText="1"/>
    </xf>
    <xf numFmtId="196" fontId="21" fillId="11" borderId="5" xfId="3" applyNumberFormat="1" applyFont="1" applyFill="1" applyBorder="1" applyAlignment="1">
      <alignment horizontal="center" vertical="center"/>
    </xf>
    <xf numFmtId="0" fontId="70" fillId="30" borderId="0" xfId="0" applyFont="1" applyFill="1" applyBorder="1" applyAlignment="1">
      <alignment horizontal="center" vertical="center"/>
    </xf>
    <xf numFmtId="0" fontId="179" fillId="2" borderId="6" xfId="0" applyFont="1" applyFill="1" applyBorder="1" applyAlignment="1">
      <alignment horizontal="left" vertical="center"/>
    </xf>
    <xf numFmtId="2" fontId="57" fillId="16" borderId="0" xfId="1" applyNumberFormat="1" applyFont="1" applyFill="1" applyBorder="1" applyAlignment="1">
      <alignment horizontal="center" vertical="center" wrapText="1"/>
    </xf>
    <xf numFmtId="0" fontId="62" fillId="4" borderId="5" xfId="1" applyFont="1" applyFill="1" applyBorder="1" applyAlignment="1">
      <alignment horizontal="center" vertical="center"/>
    </xf>
    <xf numFmtId="0" fontId="239" fillId="23" borderId="6" xfId="1" applyFont="1" applyFill="1" applyBorder="1" applyAlignment="1" applyProtection="1">
      <alignment horizontal="center" vertical="center"/>
      <protection hidden="1"/>
    </xf>
    <xf numFmtId="0" fontId="239" fillId="23" borderId="0" xfId="1" applyFont="1" applyFill="1" applyBorder="1" applyAlignment="1" applyProtection="1">
      <alignment horizontal="center" vertical="center"/>
      <protection hidden="1"/>
    </xf>
    <xf numFmtId="0" fontId="0" fillId="4" borderId="145" xfId="0" applyFill="1" applyBorder="1" applyAlignment="1">
      <alignment horizontal="center" vertical="center"/>
    </xf>
    <xf numFmtId="0" fontId="70" fillId="77" borderId="5" xfId="0" applyFont="1" applyFill="1" applyBorder="1" applyAlignment="1">
      <alignment horizontal="center" vertical="center"/>
    </xf>
    <xf numFmtId="0" fontId="235" fillId="37" borderId="0" xfId="0" applyFont="1" applyFill="1" applyBorder="1" applyAlignment="1">
      <alignment horizontal="center" vertical="center"/>
    </xf>
    <xf numFmtId="0" fontId="232" fillId="30" borderId="1" xfId="0" applyFont="1" applyFill="1" applyBorder="1" applyAlignment="1">
      <alignment horizontal="center" vertical="center"/>
    </xf>
    <xf numFmtId="0" fontId="0" fillId="4" borderId="208" xfId="0" applyFill="1" applyBorder="1" applyAlignment="1">
      <alignment horizontal="center" vertical="center"/>
    </xf>
    <xf numFmtId="0" fontId="26" fillId="4" borderId="208" xfId="0" applyFont="1" applyFill="1" applyBorder="1" applyAlignment="1">
      <alignment horizontal="right" vertical="center"/>
    </xf>
    <xf numFmtId="0" fontId="82" fillId="4" borderId="145" xfId="1" applyFont="1" applyFill="1" applyBorder="1" applyAlignment="1" applyProtection="1">
      <alignment horizontal="center" vertical="center"/>
      <protection hidden="1"/>
    </xf>
    <xf numFmtId="0" fontId="211" fillId="14" borderId="4" xfId="1" applyNumberFormat="1" applyFont="1" applyFill="1" applyBorder="1" applyAlignment="1">
      <alignment horizontal="center"/>
    </xf>
    <xf numFmtId="0" fontId="386" fillId="5" borderId="4" xfId="1" applyNumberFormat="1" applyFont="1" applyFill="1" applyBorder="1" applyAlignment="1">
      <alignment horizontal="center" vertical="center" wrapText="1"/>
    </xf>
    <xf numFmtId="164" fontId="63" fillId="4" borderId="221" xfId="3" applyNumberFormat="1" applyFont="1" applyFill="1" applyBorder="1" applyAlignment="1">
      <alignment horizontal="center" vertical="center"/>
    </xf>
    <xf numFmtId="0" fontId="37" fillId="18" borderId="0" xfId="2" applyFont="1" applyFill="1" applyBorder="1" applyAlignment="1">
      <alignment horizontal="left" vertical="center"/>
    </xf>
    <xf numFmtId="0" fontId="13" fillId="5" borderId="0" xfId="1" applyFont="1" applyFill="1" applyBorder="1" applyAlignment="1">
      <alignment horizontal="left" vertical="center"/>
    </xf>
    <xf numFmtId="0" fontId="13" fillId="5" borderId="0" xfId="1" applyFont="1" applyFill="1" applyBorder="1" applyAlignment="1">
      <alignment vertical="center"/>
    </xf>
    <xf numFmtId="0" fontId="13" fillId="5" borderId="241" xfId="1" applyFont="1" applyFill="1" applyBorder="1" applyAlignment="1">
      <alignment vertical="center"/>
    </xf>
    <xf numFmtId="0" fontId="16" fillId="7" borderId="0" xfId="0" applyFont="1" applyFill="1" applyAlignment="1">
      <alignment horizontal="center" vertical="center" textRotation="90"/>
    </xf>
    <xf numFmtId="0" fontId="17" fillId="8" borderId="7" xfId="1" applyFont="1" applyFill="1" applyBorder="1" applyAlignment="1" applyProtection="1">
      <alignment horizontal="left" vertical="center"/>
      <protection hidden="1"/>
    </xf>
    <xf numFmtId="0" fontId="17" fillId="8" borderId="4" xfId="1" applyFont="1" applyFill="1" applyBorder="1" applyAlignment="1" applyProtection="1">
      <alignment horizontal="left" vertical="center"/>
      <protection hidden="1"/>
    </xf>
    <xf numFmtId="164" fontId="18" fillId="8" borderId="4" xfId="3" applyNumberFormat="1" applyFont="1" applyFill="1" applyBorder="1" applyAlignment="1">
      <alignment horizontal="left" vertical="center"/>
    </xf>
    <xf numFmtId="164" fontId="18" fillId="8" borderId="213" xfId="3" applyNumberFormat="1" applyFont="1" applyFill="1" applyBorder="1" applyAlignment="1">
      <alignment vertical="center"/>
    </xf>
    <xf numFmtId="164" fontId="18" fillId="8" borderId="7" xfId="3" applyNumberFormat="1" applyFont="1" applyFill="1" applyBorder="1" applyAlignment="1">
      <alignment horizontal="left" vertical="center"/>
    </xf>
    <xf numFmtId="0" fontId="21" fillId="8" borderId="4" xfId="4" applyNumberFormat="1" applyFont="1" applyFill="1" applyBorder="1" applyAlignment="1">
      <alignment vertical="center"/>
    </xf>
    <xf numFmtId="0" fontId="21" fillId="8" borderId="213" xfId="4" applyNumberFormat="1" applyFont="1" applyFill="1" applyBorder="1" applyAlignment="1">
      <alignment vertical="center"/>
    </xf>
    <xf numFmtId="0" fontId="5" fillId="3" borderId="152" xfId="1" applyFont="1" applyFill="1" applyBorder="1" applyAlignment="1">
      <alignment horizontal="center" vertical="center"/>
    </xf>
    <xf numFmtId="166" fontId="21" fillId="11" borderId="241" xfId="3" applyNumberFormat="1" applyFont="1" applyFill="1" applyBorder="1" applyAlignment="1">
      <alignment horizontal="center" vertical="center"/>
    </xf>
    <xf numFmtId="0" fontId="0" fillId="12" borderId="0" xfId="0" applyFill="1" applyBorder="1"/>
    <xf numFmtId="164" fontId="21" fillId="12" borderId="0" xfId="3" applyNumberFormat="1" applyFont="1" applyFill="1" applyBorder="1" applyAlignment="1">
      <alignment horizontal="center" vertical="center"/>
    </xf>
    <xf numFmtId="167" fontId="21" fillId="6" borderId="0" xfId="2" applyNumberFormat="1" applyFont="1" applyFill="1" applyBorder="1" applyAlignment="1">
      <alignment vertical="center" wrapText="1"/>
    </xf>
    <xf numFmtId="0" fontId="21" fillId="6" borderId="144" xfId="2" applyFont="1" applyFill="1" applyBorder="1" applyAlignment="1" applyProtection="1">
      <alignment horizontal="center" vertical="center"/>
      <protection locked="0"/>
    </xf>
    <xf numFmtId="0" fontId="25" fillId="4" borderId="10" xfId="1" applyFont="1" applyFill="1" applyBorder="1" applyAlignment="1" applyProtection="1">
      <alignment horizontal="left" vertical="center"/>
      <protection hidden="1"/>
    </xf>
    <xf numFmtId="0" fontId="28" fillId="4" borderId="144" xfId="1" applyFont="1" applyFill="1" applyBorder="1" applyAlignment="1" applyProtection="1">
      <alignment horizontal="center" vertical="center"/>
      <protection hidden="1"/>
    </xf>
    <xf numFmtId="164" fontId="18" fillId="8" borderId="10" xfId="3" applyNumberFormat="1" applyFont="1" applyFill="1" applyBorder="1" applyAlignment="1">
      <alignment horizontal="left" vertical="center"/>
    </xf>
    <xf numFmtId="164" fontId="18" fillId="8" borderId="0" xfId="3" applyNumberFormat="1" applyFont="1" applyFill="1" applyBorder="1" applyAlignment="1">
      <alignment horizontal="left" vertical="center"/>
    </xf>
    <xf numFmtId="164" fontId="18" fillId="8" borderId="0" xfId="3" applyNumberFormat="1" applyFont="1" applyFill="1" applyBorder="1" applyAlignment="1">
      <alignment horizontal="right" vertical="center"/>
    </xf>
    <xf numFmtId="0" fontId="390" fillId="4" borderId="158" xfId="1" applyFont="1" applyFill="1" applyBorder="1" applyAlignment="1" applyProtection="1">
      <alignment vertical="center"/>
      <protection hidden="1"/>
    </xf>
    <xf numFmtId="0" fontId="390" fillId="4" borderId="4" xfId="1" applyFont="1" applyFill="1" applyBorder="1" applyAlignment="1" applyProtection="1">
      <alignment vertical="center"/>
      <protection hidden="1"/>
    </xf>
    <xf numFmtId="0" fontId="390" fillId="4" borderId="217" xfId="1" applyFont="1" applyFill="1" applyBorder="1" applyAlignment="1" applyProtection="1">
      <alignment vertical="center"/>
      <protection hidden="1"/>
    </xf>
    <xf numFmtId="0" fontId="13" fillId="15" borderId="144" xfId="1" applyFont="1" applyFill="1" applyBorder="1" applyAlignment="1">
      <alignment vertical="center"/>
    </xf>
    <xf numFmtId="168" fontId="30" fillId="16" borderId="241" xfId="1" applyNumberFormat="1" applyFont="1" applyFill="1" applyBorder="1" applyAlignment="1">
      <alignment horizontal="center" vertical="center"/>
    </xf>
    <xf numFmtId="0" fontId="34" fillId="19" borderId="147" xfId="2" applyFont="1" applyFill="1" applyBorder="1" applyAlignment="1" applyProtection="1">
      <alignment horizontal="center" vertical="center"/>
      <protection locked="0"/>
    </xf>
    <xf numFmtId="0" fontId="37" fillId="4" borderId="10" xfId="2" applyFont="1" applyFill="1" applyBorder="1" applyAlignment="1">
      <alignment horizontal="left" vertical="center"/>
    </xf>
    <xf numFmtId="0" fontId="7" fillId="4" borderId="0" xfId="2" applyFont="1" applyFill="1" applyBorder="1" applyAlignment="1">
      <alignment horizontal="left" vertical="center"/>
    </xf>
    <xf numFmtId="0" fontId="7" fillId="4" borderId="5" xfId="0" applyFont="1" applyFill="1" applyBorder="1" applyAlignment="1">
      <alignment horizontal="center"/>
    </xf>
    <xf numFmtId="0" fontId="7" fillId="4" borderId="0" xfId="0" applyFont="1" applyFill="1" applyBorder="1" applyAlignment="1">
      <alignment horizontal="center"/>
    </xf>
    <xf numFmtId="0" fontId="8" fillId="4" borderId="6" xfId="0" applyFont="1" applyFill="1" applyBorder="1"/>
    <xf numFmtId="0" fontId="9" fillId="4" borderId="5" xfId="2" applyFont="1" applyFill="1" applyBorder="1" applyAlignment="1">
      <alignment horizontal="right" vertical="center"/>
    </xf>
    <xf numFmtId="0" fontId="9" fillId="4" borderId="0" xfId="0" applyFont="1" applyFill="1" applyBorder="1" applyAlignment="1">
      <alignment horizontal="right" vertical="center"/>
    </xf>
    <xf numFmtId="0" fontId="3" fillId="4" borderId="6" xfId="0" applyFont="1" applyFill="1" applyBorder="1" applyAlignment="1">
      <alignment horizontal="left" vertical="center"/>
    </xf>
    <xf numFmtId="0" fontId="393" fillId="4" borderId="5" xfId="2" applyFont="1" applyFill="1" applyBorder="1" applyAlignment="1">
      <alignment horizontal="right" vertical="center"/>
    </xf>
    <xf numFmtId="0" fontId="3" fillId="4" borderId="0" xfId="0" applyFont="1" applyFill="1" applyBorder="1" applyAlignment="1">
      <alignment horizontal="right" vertical="center"/>
    </xf>
    <xf numFmtId="0" fontId="10" fillId="4" borderId="0" xfId="0" applyFont="1" applyFill="1" applyBorder="1" applyAlignment="1">
      <alignment vertical="center"/>
    </xf>
    <xf numFmtId="0" fontId="395" fillId="4" borderId="6" xfId="0" applyFont="1" applyFill="1" applyBorder="1" applyAlignment="1">
      <alignment vertical="center"/>
    </xf>
    <xf numFmtId="0" fontId="396" fillId="4" borderId="6" xfId="0" applyFont="1" applyFill="1" applyBorder="1" applyAlignment="1">
      <alignment vertical="center"/>
    </xf>
    <xf numFmtId="0" fontId="397" fillId="4" borderId="6" xfId="0" applyFont="1" applyFill="1" applyBorder="1" applyAlignment="1">
      <alignment vertical="center"/>
    </xf>
    <xf numFmtId="0" fontId="219" fillId="4" borderId="0" xfId="8" applyFont="1" applyFill="1" applyBorder="1" applyAlignment="1" applyProtection="1">
      <alignment horizontal="left" vertical="center"/>
      <protection hidden="1"/>
    </xf>
    <xf numFmtId="0" fontId="398" fillId="4" borderId="5" xfId="2" applyFont="1" applyFill="1" applyBorder="1" applyAlignment="1">
      <alignment horizontal="right"/>
    </xf>
    <xf numFmtId="0" fontId="398" fillId="4" borderId="0" xfId="2" applyFont="1" applyFill="1" applyBorder="1" applyAlignment="1">
      <alignment horizontal="right"/>
    </xf>
    <xf numFmtId="0" fontId="399" fillId="4" borderId="0" xfId="2" applyFont="1" applyFill="1" applyBorder="1" applyAlignment="1">
      <alignment horizontal="center"/>
    </xf>
    <xf numFmtId="0" fontId="400" fillId="4" borderId="0" xfId="0" applyFont="1" applyFill="1" applyBorder="1"/>
    <xf numFmtId="0" fontId="396" fillId="4" borderId="6" xfId="2" applyFont="1" applyFill="1" applyBorder="1" applyAlignment="1">
      <alignment horizontal="left"/>
    </xf>
    <xf numFmtId="167" fontId="401" fillId="20" borderId="203" xfId="2" applyNumberFormat="1" applyFont="1" applyFill="1" applyBorder="1" applyAlignment="1">
      <alignment horizontal="left" vertical="center" wrapText="1"/>
    </xf>
    <xf numFmtId="0" fontId="5" fillId="96" borderId="5" xfId="1" applyFont="1" applyFill="1" applyBorder="1" applyAlignment="1">
      <alignment horizontal="center" vertical="center"/>
    </xf>
    <xf numFmtId="0" fontId="5" fillId="96" borderId="8" xfId="1" applyFont="1" applyFill="1" applyBorder="1" applyAlignment="1">
      <alignment horizontal="center" vertical="center"/>
    </xf>
    <xf numFmtId="0" fontId="56" fillId="4" borderId="245" xfId="1" applyFont="1" applyFill="1" applyBorder="1" applyAlignment="1" applyProtection="1">
      <alignment horizontal="center" vertical="center" wrapText="1"/>
      <protection hidden="1"/>
    </xf>
    <xf numFmtId="0" fontId="24" fillId="28" borderId="0" xfId="1" applyFont="1" applyFill="1" applyBorder="1" applyAlignment="1">
      <alignment horizontal="right" vertical="center"/>
    </xf>
    <xf numFmtId="0" fontId="59" fillId="20" borderId="144" xfId="1" applyFont="1" applyFill="1" applyBorder="1" applyAlignment="1">
      <alignment horizontal="left" vertical="center"/>
    </xf>
    <xf numFmtId="166" fontId="53" fillId="26" borderId="10" xfId="3" applyNumberFormat="1" applyFont="1" applyFill="1" applyBorder="1" applyAlignment="1">
      <alignment horizontal="center" vertical="center"/>
    </xf>
    <xf numFmtId="0" fontId="62" fillId="4" borderId="0" xfId="1" applyFont="1" applyFill="1" applyBorder="1" applyAlignment="1" applyProtection="1">
      <alignment horizontal="right" vertical="center"/>
      <protection hidden="1"/>
    </xf>
    <xf numFmtId="0" fontId="63" fillId="4" borderId="144" xfId="1" applyFont="1" applyFill="1" applyBorder="1" applyAlignment="1" applyProtection="1">
      <alignment vertical="center"/>
      <protection hidden="1"/>
    </xf>
    <xf numFmtId="0" fontId="64" fillId="2" borderId="144" xfId="0" applyFont="1" applyFill="1" applyBorder="1" applyAlignment="1">
      <alignment vertical="center"/>
    </xf>
    <xf numFmtId="173" fontId="11" fillId="4" borderId="30" xfId="2" applyNumberFormat="1" applyFont="1" applyFill="1" applyBorder="1" applyAlignment="1">
      <alignment horizontal="left" vertical="center"/>
    </xf>
    <xf numFmtId="167" fontId="404" fillId="4" borderId="10" xfId="3" applyNumberFormat="1" applyFont="1" applyFill="1" applyBorder="1" applyAlignment="1">
      <alignment vertical="center" wrapText="1"/>
    </xf>
    <xf numFmtId="0" fontId="65" fillId="4" borderId="144" xfId="1" applyFont="1" applyFill="1" applyBorder="1" applyAlignment="1">
      <alignment vertical="center"/>
    </xf>
    <xf numFmtId="0" fontId="66" fillId="2" borderId="0" xfId="0" applyFont="1" applyFill="1" applyBorder="1" applyAlignment="1">
      <alignment horizontal="left" vertical="center"/>
    </xf>
    <xf numFmtId="0" fontId="66" fillId="2" borderId="144" xfId="0" applyFont="1" applyFill="1" applyBorder="1" applyAlignment="1">
      <alignment vertical="center"/>
    </xf>
    <xf numFmtId="0" fontId="0" fillId="4" borderId="144" xfId="0" applyFill="1" applyBorder="1" applyAlignment="1">
      <alignment vertical="center"/>
    </xf>
    <xf numFmtId="0" fontId="405" fillId="2" borderId="144" xfId="0" applyFont="1" applyFill="1" applyBorder="1" applyAlignment="1">
      <alignment horizontal="left" vertical="center"/>
    </xf>
    <xf numFmtId="0" fontId="63" fillId="4" borderId="10" xfId="1" applyFont="1" applyFill="1" applyBorder="1" applyAlignment="1">
      <alignment vertical="center" wrapText="1"/>
    </xf>
    <xf numFmtId="0" fontId="408" fillId="13" borderId="144" xfId="0" applyFont="1" applyFill="1" applyBorder="1" applyAlignment="1">
      <alignment horizontal="left" vertical="center" wrapText="1"/>
    </xf>
    <xf numFmtId="0" fontId="68" fillId="26" borderId="183" xfId="1" applyFont="1" applyFill="1" applyBorder="1" applyAlignment="1" applyProtection="1">
      <alignment horizontal="center" vertical="center"/>
      <protection hidden="1"/>
    </xf>
    <xf numFmtId="0" fontId="17" fillId="0" borderId="242" xfId="1" applyNumberFormat="1" applyFont="1" applyFill="1" applyBorder="1" applyAlignment="1">
      <alignment horizontal="left" vertical="center"/>
    </xf>
    <xf numFmtId="0" fontId="11" fillId="0" borderId="242" xfId="0" applyFont="1" applyFill="1" applyBorder="1" applyAlignment="1">
      <alignment horizontal="center" vertical="center"/>
    </xf>
    <xf numFmtId="0" fontId="175" fillId="2" borderId="151" xfId="0" applyFont="1" applyFill="1" applyBorder="1" applyAlignment="1">
      <alignment horizontal="left" vertical="center" wrapText="1"/>
    </xf>
    <xf numFmtId="0" fontId="177" fillId="2" borderId="152" xfId="0" applyFont="1" applyFill="1" applyBorder="1" applyAlignment="1">
      <alignment horizontal="center" vertical="center" wrapText="1"/>
    </xf>
    <xf numFmtId="0" fontId="178" fillId="2" borderId="144" xfId="0" applyFont="1" applyFill="1" applyBorder="1" applyAlignment="1">
      <alignment horizontal="left" vertical="center"/>
    </xf>
    <xf numFmtId="0" fontId="10" fillId="2" borderId="144" xfId="0" applyFont="1" applyFill="1" applyBorder="1" applyAlignment="1">
      <alignment vertical="center"/>
    </xf>
    <xf numFmtId="166" fontId="53" fillId="26" borderId="66" xfId="3" applyNumberFormat="1" applyFont="1" applyFill="1" applyBorder="1" applyAlignment="1">
      <alignment horizontal="center" vertical="center"/>
    </xf>
    <xf numFmtId="0" fontId="65" fillId="4" borderId="67" xfId="1" applyFont="1" applyFill="1" applyBorder="1" applyAlignment="1" applyProtection="1">
      <alignment horizontal="right" vertical="center"/>
      <protection hidden="1"/>
    </xf>
    <xf numFmtId="0" fontId="212" fillId="4" borderId="144" xfId="0" applyFont="1" applyFill="1" applyBorder="1" applyAlignment="1">
      <alignment vertical="center"/>
    </xf>
    <xf numFmtId="0" fontId="214" fillId="18" borderId="144" xfId="1" applyFont="1" applyFill="1" applyBorder="1" applyAlignment="1">
      <alignment horizontal="left" vertical="center"/>
    </xf>
    <xf numFmtId="0" fontId="214" fillId="36" borderId="144" xfId="1" applyFont="1" applyFill="1" applyBorder="1" applyAlignment="1">
      <alignment horizontal="left" vertical="center"/>
    </xf>
    <xf numFmtId="0" fontId="60" fillId="4" borderId="208" xfId="1" applyFont="1" applyFill="1" applyBorder="1" applyAlignment="1" applyProtection="1">
      <alignment horizontal="right" vertical="center"/>
      <protection hidden="1"/>
    </xf>
    <xf numFmtId="0" fontId="60" fillId="4" borderId="208" xfId="1" applyFont="1" applyFill="1" applyBorder="1" applyAlignment="1" applyProtection="1">
      <alignment horizontal="center" vertical="center"/>
      <protection hidden="1"/>
    </xf>
    <xf numFmtId="0" fontId="25" fillId="4" borderId="208" xfId="1" applyFont="1" applyFill="1" applyBorder="1" applyAlignment="1" applyProtection="1">
      <alignment horizontal="left" vertical="center"/>
      <protection hidden="1"/>
    </xf>
    <xf numFmtId="0" fontId="25" fillId="4" borderId="209" xfId="1" applyFont="1" applyFill="1" applyBorder="1" applyAlignment="1" applyProtection="1">
      <alignment horizontal="left" vertical="center"/>
      <protection hidden="1"/>
    </xf>
    <xf numFmtId="0" fontId="17" fillId="22" borderId="242" xfId="1" applyNumberFormat="1" applyFont="1" applyFill="1" applyBorder="1" applyAlignment="1">
      <alignment horizontal="left" vertical="center"/>
    </xf>
    <xf numFmtId="0" fontId="11" fillId="22" borderId="242" xfId="0" applyFont="1" applyFill="1" applyBorder="1" applyAlignment="1">
      <alignment horizontal="center" vertical="center"/>
    </xf>
    <xf numFmtId="0" fontId="28" fillId="4" borderId="151" xfId="0" applyFont="1" applyFill="1" applyBorder="1" applyAlignment="1">
      <alignment horizontal="center" vertical="center"/>
    </xf>
    <xf numFmtId="0" fontId="175" fillId="4" borderId="152" xfId="0" applyFont="1" applyFill="1" applyBorder="1" applyAlignment="1">
      <alignment horizontal="left" vertical="center"/>
    </xf>
    <xf numFmtId="0" fontId="28" fillId="4" borderId="144" xfId="0" applyFont="1" applyFill="1" applyBorder="1" applyAlignment="1">
      <alignment horizontal="center" vertical="center"/>
    </xf>
    <xf numFmtId="0" fontId="211" fillId="14" borderId="144" xfId="1" applyNumberFormat="1" applyFont="1" applyFill="1" applyBorder="1" applyAlignment="1">
      <alignment horizontal="center"/>
    </xf>
    <xf numFmtId="0" fontId="211" fillId="14" borderId="10" xfId="1" applyNumberFormat="1" applyFont="1" applyFill="1" applyBorder="1" applyAlignment="1">
      <alignment horizontal="center"/>
    </xf>
    <xf numFmtId="0" fontId="211" fillId="14" borderId="7" xfId="1" applyNumberFormat="1" applyFont="1" applyFill="1" applyBorder="1" applyAlignment="1">
      <alignment horizontal="center"/>
    </xf>
    <xf numFmtId="0" fontId="341" fillId="2" borderId="152" xfId="0" applyFont="1" applyFill="1" applyBorder="1" applyAlignment="1">
      <alignment horizontal="center" vertical="center" wrapText="1"/>
    </xf>
    <xf numFmtId="0" fontId="284" fillId="4" borderId="144" xfId="8" applyFont="1" applyFill="1" applyBorder="1" applyAlignment="1" applyProtection="1">
      <alignment vertical="center"/>
      <protection hidden="1"/>
    </xf>
    <xf numFmtId="0" fontId="284" fillId="4" borderId="0" xfId="8" applyFont="1" applyFill="1" applyBorder="1" applyAlignment="1" applyProtection="1">
      <alignment vertical="center"/>
      <protection hidden="1"/>
    </xf>
    <xf numFmtId="2" fontId="375" fillId="22" borderId="207" xfId="2" applyNumberFormat="1" applyFont="1" applyFill="1" applyBorder="1" applyAlignment="1">
      <alignment horizontal="center"/>
    </xf>
    <xf numFmtId="0" fontId="176" fillId="2" borderId="250" xfId="2" applyFont="1" applyFill="1" applyBorder="1" applyAlignment="1" applyProtection="1">
      <alignment horizontal="center" vertical="center"/>
      <protection locked="0"/>
    </xf>
    <xf numFmtId="0" fontId="409" fillId="4" borderId="3" xfId="0" applyFont="1" applyFill="1" applyBorder="1" applyAlignment="1">
      <alignment vertical="center"/>
    </xf>
    <xf numFmtId="0" fontId="337" fillId="4" borderId="3" xfId="0" applyFont="1" applyFill="1" applyBorder="1" applyAlignment="1">
      <alignment vertical="center"/>
    </xf>
    <xf numFmtId="0" fontId="337" fillId="4" borderId="4" xfId="0" applyFont="1" applyFill="1" applyBorder="1" applyAlignment="1">
      <alignment vertical="center"/>
    </xf>
    <xf numFmtId="0" fontId="11" fillId="13" borderId="242" xfId="0" applyFont="1" applyFill="1" applyBorder="1" applyAlignment="1">
      <alignment horizontal="center" vertical="center"/>
    </xf>
    <xf numFmtId="2" fontId="74" fillId="4" borderId="0" xfId="2" applyNumberFormat="1" applyFont="1" applyFill="1" applyAlignment="1">
      <alignment horizontal="left" vertical="center"/>
    </xf>
    <xf numFmtId="0" fontId="0" fillId="4" borderId="260" xfId="0" applyFill="1" applyBorder="1"/>
    <xf numFmtId="164" fontId="18" fillId="4" borderId="0" xfId="3" applyNumberFormat="1" applyFont="1" applyFill="1" applyBorder="1" applyAlignment="1">
      <alignment horizontal="left" vertical="center"/>
    </xf>
    <xf numFmtId="0" fontId="71" fillId="4" borderId="0" xfId="0" applyFont="1" applyFill="1" applyAlignment="1">
      <alignment horizontal="right"/>
    </xf>
    <xf numFmtId="0" fontId="17" fillId="13" borderId="242" xfId="1" applyNumberFormat="1" applyFont="1" applyFill="1" applyBorder="1" applyAlignment="1">
      <alignment horizontal="left" vertical="center" wrapText="1"/>
    </xf>
    <xf numFmtId="0" fontId="232" fillId="78" borderId="150" xfId="9" applyFont="1" applyFill="1" applyBorder="1" applyAlignment="1" applyProtection="1">
      <alignment horizontal="center" vertical="center"/>
      <protection hidden="1"/>
    </xf>
    <xf numFmtId="0" fontId="6" fillId="35" borderId="147" xfId="1" applyFont="1" applyFill="1" applyBorder="1" applyAlignment="1" applyProtection="1">
      <alignment horizontal="center" vertical="center"/>
      <protection hidden="1"/>
    </xf>
    <xf numFmtId="0" fontId="6" fillId="35" borderId="145" xfId="1" applyFont="1" applyFill="1" applyBorder="1" applyAlignment="1" applyProtection="1">
      <alignment horizontal="center" vertical="center" wrapText="1"/>
      <protection hidden="1"/>
    </xf>
    <xf numFmtId="0" fontId="54" fillId="35" borderId="145" xfId="1" applyFont="1" applyFill="1" applyBorder="1" applyAlignment="1" applyProtection="1">
      <alignment horizontal="center" vertical="center"/>
      <protection hidden="1"/>
    </xf>
    <xf numFmtId="0" fontId="83" fillId="18" borderId="144" xfId="1" applyFont="1" applyFill="1" applyBorder="1" applyAlignment="1">
      <alignment horizontal="left" vertical="center"/>
    </xf>
    <xf numFmtId="0" fontId="93" fillId="13" borderId="0" xfId="2" applyFont="1" applyFill="1" applyBorder="1" applyAlignment="1" applyProtection="1">
      <alignment horizontal="left" vertical="center"/>
      <protection locked="0"/>
    </xf>
    <xf numFmtId="167" fontId="35" fillId="19" borderId="145" xfId="2" applyNumberFormat="1" applyFont="1" applyFill="1" applyBorder="1" applyAlignment="1">
      <alignment horizontal="center" vertical="center" wrapText="1"/>
    </xf>
    <xf numFmtId="0" fontId="77" fillId="4" borderId="261" xfId="1" applyFont="1" applyFill="1" applyBorder="1" applyAlignment="1" applyProtection="1">
      <alignment horizontal="left" vertical="center"/>
      <protection locked="0"/>
    </xf>
    <xf numFmtId="0" fontId="299" fillId="4" borderId="6" xfId="1" applyFont="1" applyFill="1" applyBorder="1" applyAlignment="1">
      <alignment horizontal="center" vertical="center"/>
    </xf>
    <xf numFmtId="0" fontId="299" fillId="4" borderId="0" xfId="1" applyFont="1" applyFill="1" applyBorder="1" applyAlignment="1">
      <alignment horizontal="center" vertical="center"/>
    </xf>
    <xf numFmtId="0" fontId="299" fillId="4" borderId="5" xfId="1" applyFont="1" applyFill="1" applyBorder="1" applyAlignment="1">
      <alignment horizontal="center" vertical="center"/>
    </xf>
    <xf numFmtId="201" fontId="303" fillId="4" borderId="0" xfId="1" applyNumberFormat="1" applyFont="1" applyFill="1" applyBorder="1" applyAlignment="1">
      <alignment vertical="center"/>
    </xf>
    <xf numFmtId="0" fontId="410" fillId="4" borderId="0" xfId="1" applyFont="1" applyFill="1" applyBorder="1" applyAlignment="1">
      <alignment horizontal="center" vertical="center"/>
    </xf>
    <xf numFmtId="0" fontId="310" fillId="4" borderId="0" xfId="1" applyFont="1" applyFill="1" applyBorder="1" applyAlignment="1">
      <alignment horizontal="center" vertical="center"/>
    </xf>
    <xf numFmtId="0" fontId="311" fillId="4" borderId="5" xfId="1" applyFont="1" applyFill="1" applyBorder="1" applyAlignment="1">
      <alignment horizontal="center" vertical="center"/>
    </xf>
    <xf numFmtId="0" fontId="410" fillId="4" borderId="6" xfId="1" applyFont="1" applyFill="1" applyBorder="1" applyAlignment="1">
      <alignment horizontal="center" vertical="center"/>
    </xf>
    <xf numFmtId="202" fontId="127" fillId="4" borderId="0" xfId="3" applyNumberFormat="1" applyFont="1" applyFill="1" applyBorder="1" applyAlignment="1" applyProtection="1">
      <alignment horizontal="center" vertical="center"/>
    </xf>
    <xf numFmtId="0" fontId="311" fillId="4" borderId="0" xfId="1" applyFont="1" applyFill="1" applyBorder="1" applyAlignment="1">
      <alignment horizontal="center" vertical="center"/>
    </xf>
    <xf numFmtId="0" fontId="300" fillId="7" borderId="53" xfId="1" applyFont="1" applyFill="1" applyBorder="1" applyAlignment="1">
      <alignment horizontal="center" vertical="center"/>
    </xf>
    <xf numFmtId="0" fontId="305" fillId="22" borderId="6" xfId="1" applyFont="1" applyFill="1" applyBorder="1" applyAlignment="1">
      <alignment horizontal="center" vertical="center"/>
    </xf>
    <xf numFmtId="0" fontId="244" fillId="22" borderId="6" xfId="1" applyFont="1" applyFill="1" applyBorder="1" applyAlignment="1">
      <alignment horizontal="center" vertical="center"/>
    </xf>
    <xf numFmtId="0" fontId="69" fillId="22" borderId="6" xfId="1" applyFont="1" applyFill="1" applyBorder="1" applyAlignment="1">
      <alignment horizontal="center" vertical="center"/>
    </xf>
    <xf numFmtId="0" fontId="90" fillId="4" borderId="0" xfId="1" applyFont="1" applyFill="1"/>
    <xf numFmtId="0" fontId="90" fillId="4" borderId="0" xfId="1" applyFont="1" applyFill="1" applyAlignment="1">
      <alignment vertical="center"/>
    </xf>
    <xf numFmtId="0" fontId="232" fillId="78" borderId="0" xfId="9" applyFont="1" applyFill="1" applyAlignment="1" applyProtection="1">
      <alignment horizontal="center" vertical="center"/>
      <protection hidden="1"/>
    </xf>
    <xf numFmtId="0" fontId="160" fillId="4" borderId="0" xfId="1" applyFont="1" applyFill="1" applyAlignment="1">
      <alignment vertical="center"/>
    </xf>
    <xf numFmtId="0" fontId="301" fillId="4" borderId="0" xfId="1" applyFont="1" applyFill="1" applyAlignment="1">
      <alignment vertical="center"/>
    </xf>
    <xf numFmtId="0" fontId="415" fillId="78" borderId="0" xfId="9" applyFont="1" applyFill="1" applyAlignment="1" applyProtection="1">
      <alignment horizontal="center" vertical="center"/>
      <protection hidden="1"/>
    </xf>
    <xf numFmtId="0" fontId="315" fillId="4" borderId="0" xfId="1" applyFont="1" applyFill="1" applyAlignment="1">
      <alignment vertical="center"/>
    </xf>
    <xf numFmtId="0" fontId="4" fillId="4" borderId="0" xfId="1" applyFont="1" applyFill="1" applyAlignment="1">
      <alignment vertical="center"/>
    </xf>
    <xf numFmtId="0" fontId="1" fillId="46" borderId="0" xfId="2" applyFill="1"/>
    <xf numFmtId="0" fontId="4" fillId="46" borderId="0" xfId="1" applyFill="1" applyProtection="1">
      <protection hidden="1"/>
    </xf>
    <xf numFmtId="0" fontId="82" fillId="46" borderId="0" xfId="1" applyFont="1" applyFill="1" applyAlignment="1" applyProtection="1">
      <alignment vertical="center"/>
      <protection hidden="1"/>
    </xf>
    <xf numFmtId="0" fontId="88" fillId="4" borderId="262" xfId="1" applyFont="1" applyFill="1" applyBorder="1" applyAlignment="1">
      <alignment horizontal="center" vertical="center"/>
    </xf>
    <xf numFmtId="0" fontId="88" fillId="4" borderId="263" xfId="1" applyFont="1" applyFill="1" applyBorder="1" applyAlignment="1">
      <alignment horizontal="center" vertical="center"/>
    </xf>
    <xf numFmtId="0" fontId="88" fillId="4" borderId="264" xfId="1" applyFont="1" applyFill="1" applyBorder="1" applyAlignment="1">
      <alignment horizontal="center" vertical="center"/>
    </xf>
    <xf numFmtId="0" fontId="42" fillId="4" borderId="268" xfId="1" applyFont="1" applyFill="1" applyBorder="1" applyAlignment="1">
      <alignment horizontal="center" vertical="center"/>
    </xf>
    <xf numFmtId="0" fontId="45" fillId="4" borderId="269" xfId="1" applyFont="1" applyFill="1" applyBorder="1" applyAlignment="1">
      <alignment horizontal="center" vertical="center"/>
    </xf>
    <xf numFmtId="0" fontId="17" fillId="4" borderId="270" xfId="1" applyFont="1" applyFill="1" applyBorder="1" applyAlignment="1">
      <alignment horizontal="center" vertical="center"/>
    </xf>
    <xf numFmtId="0" fontId="17" fillId="4" borderId="194" xfId="1" applyFont="1" applyFill="1" applyBorder="1" applyAlignment="1">
      <alignment horizontal="center" vertical="center"/>
    </xf>
    <xf numFmtId="0" fontId="17" fillId="4" borderId="3" xfId="1" applyFont="1" applyFill="1" applyBorder="1" applyAlignment="1">
      <alignment horizontal="center" vertical="center"/>
    </xf>
    <xf numFmtId="0" fontId="42" fillId="37" borderId="152" xfId="1" applyFont="1" applyFill="1" applyBorder="1" applyAlignment="1">
      <alignment horizontal="center" vertical="center"/>
    </xf>
    <xf numFmtId="49" fontId="17" fillId="4" borderId="6" xfId="2" applyNumberFormat="1" applyFont="1" applyFill="1" applyBorder="1" applyAlignment="1">
      <alignment horizontal="right" vertical="center"/>
    </xf>
    <xf numFmtId="49" fontId="1" fillId="4" borderId="0" xfId="2" applyNumberFormat="1" applyFont="1" applyFill="1" applyBorder="1" applyAlignment="1">
      <alignment horizontal="center" vertical="center"/>
    </xf>
    <xf numFmtId="49" fontId="1" fillId="4" borderId="5" xfId="2" applyNumberFormat="1" applyFont="1" applyFill="1" applyBorder="1" applyAlignment="1">
      <alignment horizontal="center" vertical="center"/>
    </xf>
    <xf numFmtId="0" fontId="417" fillId="40" borderId="151" xfId="22" applyFont="1" applyFill="1" applyBorder="1" applyAlignment="1">
      <alignment horizontal="center" vertical="center"/>
    </xf>
    <xf numFmtId="0" fontId="418" fillId="40" borderId="3" xfId="22" applyFont="1" applyFill="1" applyBorder="1" applyAlignment="1" applyProtection="1">
      <alignment horizontal="center" vertical="center"/>
      <protection locked="0"/>
    </xf>
    <xf numFmtId="0" fontId="418" fillId="40" borderId="183" xfId="22" applyFont="1" applyFill="1" applyBorder="1" applyAlignment="1" applyProtection="1">
      <alignment horizontal="center" vertical="center"/>
      <protection locked="0"/>
    </xf>
    <xf numFmtId="0" fontId="279" fillId="4" borderId="0" xfId="0" applyFont="1" applyFill="1"/>
    <xf numFmtId="214" fontId="419" fillId="100" borderId="144" xfId="22" applyNumberFormat="1" applyFont="1" applyFill="1" applyBorder="1" applyAlignment="1" applyProtection="1">
      <alignment horizontal="center" vertical="center"/>
      <protection locked="0"/>
    </xf>
    <xf numFmtId="0" fontId="419" fillId="100" borderId="0" xfId="22" applyFont="1" applyFill="1" applyBorder="1" applyAlignment="1" applyProtection="1">
      <alignment horizontal="center" vertical="center"/>
      <protection locked="0"/>
    </xf>
    <xf numFmtId="214" fontId="124" fillId="40" borderId="144" xfId="22" applyNumberFormat="1" applyFont="1" applyFill="1" applyBorder="1" applyAlignment="1" applyProtection="1">
      <alignment horizontal="center" vertical="center"/>
      <protection locked="0"/>
    </xf>
    <xf numFmtId="0" fontId="13" fillId="0" borderId="0" xfId="22" applyFont="1" applyFill="1" applyBorder="1" applyAlignment="1">
      <alignment horizontal="center" vertical="center"/>
    </xf>
    <xf numFmtId="214" fontId="13" fillId="0" borderId="144" xfId="22" applyNumberFormat="1" applyFont="1" applyFill="1" applyBorder="1" applyAlignment="1" applyProtection="1">
      <alignment horizontal="center" vertical="center"/>
      <protection locked="0"/>
    </xf>
    <xf numFmtId="0" fontId="47" fillId="40" borderId="0" xfId="22" applyFont="1" applyFill="1" applyBorder="1" applyAlignment="1">
      <alignment horizontal="center" vertical="center"/>
    </xf>
    <xf numFmtId="0" fontId="4" fillId="4" borderId="149" xfId="1" applyFill="1" applyBorder="1" applyAlignment="1">
      <alignment horizontal="center" vertical="center"/>
    </xf>
    <xf numFmtId="1" fontId="13" fillId="19" borderId="53" xfId="2" applyNumberFormat="1" applyFont="1" applyFill="1" applyBorder="1" applyAlignment="1">
      <alignment horizontal="centerContinuous" vertical="center" wrapText="1"/>
    </xf>
    <xf numFmtId="0" fontId="13" fillId="19" borderId="53" xfId="2" applyFont="1" applyFill="1" applyBorder="1" applyAlignment="1">
      <alignment horizontal="centerContinuous" vertical="center"/>
    </xf>
    <xf numFmtId="0" fontId="97" fillId="4" borderId="208" xfId="2" applyFont="1" applyFill="1" applyBorder="1" applyAlignment="1" applyProtection="1">
      <alignment horizontal="right" vertical="center"/>
      <protection locked="0"/>
    </xf>
    <xf numFmtId="0" fontId="421" fillId="0" borderId="0" xfId="0" applyFont="1" applyFill="1" applyAlignment="1">
      <alignment horizontal="center" vertical="center"/>
    </xf>
    <xf numFmtId="0" fontId="421" fillId="4" borderId="0" xfId="0" applyFont="1" applyFill="1" applyAlignment="1">
      <alignment vertical="center"/>
    </xf>
    <xf numFmtId="0" fontId="421" fillId="0" borderId="0" xfId="0" applyFont="1" applyFill="1" applyAlignment="1">
      <alignment vertical="center"/>
    </xf>
    <xf numFmtId="0" fontId="50" fillId="18" borderId="144" xfId="0" applyFont="1" applyFill="1" applyBorder="1" applyAlignment="1" applyProtection="1">
      <alignment horizontal="right" vertical="center"/>
      <protection locked="0"/>
    </xf>
    <xf numFmtId="0" fontId="50" fillId="18" borderId="151" xfId="0" applyFont="1" applyFill="1" applyBorder="1" applyAlignment="1" applyProtection="1">
      <alignment horizontal="right" vertical="center"/>
      <protection locked="0"/>
    </xf>
    <xf numFmtId="0" fontId="49" fillId="18" borderId="144" xfId="0" applyFont="1" applyFill="1" applyBorder="1" applyAlignment="1" applyProtection="1">
      <alignment horizontal="right" vertical="center"/>
      <protection locked="0"/>
    </xf>
    <xf numFmtId="0" fontId="26" fillId="18" borderId="144" xfId="0" applyFont="1" applyFill="1" applyBorder="1" applyAlignment="1" applyProtection="1">
      <alignment horizontal="right" vertical="center"/>
      <protection locked="0"/>
    </xf>
    <xf numFmtId="0" fontId="48" fillId="18" borderId="144" xfId="0" applyFont="1" applyFill="1" applyBorder="1" applyAlignment="1" applyProtection="1">
      <alignment horizontal="right" vertical="center"/>
      <protection locked="0"/>
    </xf>
    <xf numFmtId="0" fontId="48" fillId="18" borderId="151" xfId="0" applyFont="1" applyFill="1" applyBorder="1" applyAlignment="1" applyProtection="1">
      <alignment horizontal="right" vertical="center"/>
      <protection locked="0"/>
    </xf>
    <xf numFmtId="166" fontId="47" fillId="25" borderId="183" xfId="0" applyNumberFormat="1" applyFont="1" applyFill="1" applyBorder="1" applyAlignment="1" applyProtection="1">
      <alignment horizontal="center" vertical="center"/>
      <protection locked="0"/>
    </xf>
    <xf numFmtId="176" fontId="105" fillId="25" borderId="183" xfId="0" applyNumberFormat="1" applyFont="1" applyFill="1" applyBorder="1" applyAlignment="1" applyProtection="1">
      <alignment horizontal="center" vertical="center"/>
      <protection locked="0"/>
    </xf>
    <xf numFmtId="0" fontId="42" fillId="18" borderId="144" xfId="0" applyFont="1" applyFill="1" applyBorder="1" applyAlignment="1" applyProtection="1">
      <alignment horizontal="right" vertical="center"/>
      <protection locked="0"/>
    </xf>
    <xf numFmtId="185" fontId="106" fillId="25" borderId="5" xfId="0" applyNumberFormat="1" applyFont="1" applyFill="1" applyBorder="1" applyAlignment="1" applyProtection="1">
      <alignment horizontal="center" vertical="center"/>
      <protection locked="0"/>
    </xf>
    <xf numFmtId="0" fontId="69" fillId="7" borderId="53" xfId="4" applyFont="1" applyFill="1" applyBorder="1" applyAlignment="1" applyProtection="1">
      <alignment horizontal="left" vertical="center"/>
      <protection locked="0"/>
    </xf>
    <xf numFmtId="0" fontId="13" fillId="7" borderId="61" xfId="4" applyFont="1" applyFill="1" applyBorder="1" applyAlignment="1" applyProtection="1">
      <alignment horizontal="centerContinuous" vertical="center"/>
      <protection locked="0"/>
    </xf>
    <xf numFmtId="0" fontId="69" fillId="7" borderId="62" xfId="4" applyFont="1" applyFill="1" applyBorder="1" applyAlignment="1" applyProtection="1">
      <alignment horizontal="right" vertical="center"/>
      <protection locked="0"/>
    </xf>
    <xf numFmtId="0" fontId="422" fillId="21" borderId="208" xfId="4" applyFont="1" applyFill="1" applyBorder="1" applyAlignment="1">
      <alignment horizontal="right" vertical="center"/>
    </xf>
    <xf numFmtId="0" fontId="423" fillId="21" borderId="208" xfId="4" applyFont="1" applyFill="1" applyBorder="1" applyAlignment="1">
      <alignment horizontal="right" vertical="center"/>
    </xf>
    <xf numFmtId="167" fontId="91" fillId="22" borderId="272" xfId="0" applyNumberFormat="1" applyFont="1" applyFill="1" applyBorder="1" applyAlignment="1" applyProtection="1">
      <alignment horizontal="center" vertical="center"/>
    </xf>
    <xf numFmtId="0" fontId="4" fillId="22" borderId="31" xfId="0" applyFont="1" applyFill="1" applyBorder="1" applyAlignment="1" applyProtection="1">
      <alignment horizontal="center" vertical="center"/>
    </xf>
    <xf numFmtId="2" fontId="91" fillId="22" borderId="273" xfId="0" applyNumberFormat="1" applyFont="1" applyFill="1" applyBorder="1" applyAlignment="1" applyProtection="1">
      <alignment horizontal="center" vertical="center"/>
    </xf>
    <xf numFmtId="9" fontId="91" fillId="43" borderId="46" xfId="0" applyNumberFormat="1" applyFont="1" applyFill="1" applyBorder="1" applyAlignment="1">
      <alignment horizontal="center" vertical="center"/>
    </xf>
    <xf numFmtId="0" fontId="13" fillId="43" borderId="0" xfId="4" applyFont="1" applyFill="1" applyBorder="1" applyAlignment="1">
      <alignment horizontal="centerContinuous" vertical="center"/>
    </xf>
    <xf numFmtId="0" fontId="0" fillId="43" borderId="0" xfId="0" applyFill="1" applyBorder="1" applyAlignment="1">
      <alignment horizontal="centerContinuous" vertical="center" wrapText="1"/>
    </xf>
    <xf numFmtId="0" fontId="91" fillId="43" borderId="0" xfId="4" applyFont="1" applyFill="1" applyBorder="1" applyAlignment="1">
      <alignment horizontal="right" vertical="center"/>
    </xf>
    <xf numFmtId="9" fontId="424" fillId="43" borderId="181" xfId="0" applyNumberFormat="1" applyFont="1" applyFill="1" applyBorder="1" applyAlignment="1">
      <alignment horizontal="center" vertical="center"/>
    </xf>
    <xf numFmtId="215" fontId="4" fillId="102" borderId="5" xfId="0" applyNumberFormat="1" applyFont="1" applyFill="1" applyBorder="1" applyAlignment="1">
      <alignment horizontal="centerContinuous" vertical="center" wrapText="1"/>
    </xf>
    <xf numFmtId="165" fontId="98" fillId="25" borderId="46" xfId="0" applyNumberFormat="1" applyFont="1" applyFill="1" applyBorder="1" applyAlignment="1">
      <alignment horizontal="center" vertical="center"/>
    </xf>
    <xf numFmtId="0" fontId="47" fillId="25" borderId="0" xfId="4" applyFont="1" applyFill="1" applyBorder="1" applyAlignment="1">
      <alignment horizontal="left" vertical="center"/>
    </xf>
    <xf numFmtId="171" fontId="106" fillId="25" borderId="0" xfId="0" applyNumberFormat="1" applyFont="1" applyFill="1" applyBorder="1" applyAlignment="1" applyProtection="1">
      <alignment horizontal="center" vertical="center"/>
      <protection locked="0"/>
    </xf>
    <xf numFmtId="196" fontId="17" fillId="22" borderId="5" xfId="0" applyNumberFormat="1" applyFont="1" applyFill="1" applyBorder="1" applyAlignment="1" applyProtection="1">
      <alignment horizontal="center" vertical="center"/>
      <protection locked="0"/>
    </xf>
    <xf numFmtId="196" fontId="17" fillId="22" borderId="0" xfId="0" applyNumberFormat="1" applyFont="1" applyFill="1" applyBorder="1" applyAlignment="1" applyProtection="1">
      <alignment horizontal="center" vertical="center"/>
      <protection locked="0"/>
    </xf>
    <xf numFmtId="165" fontId="98" fillId="25" borderId="274" xfId="0" applyNumberFormat="1" applyFont="1" applyFill="1" applyBorder="1" applyAlignment="1">
      <alignment horizontal="center" vertical="center"/>
    </xf>
    <xf numFmtId="0" fontId="47" fillId="25" borderId="1" xfId="4" applyFont="1" applyFill="1" applyBorder="1" applyAlignment="1">
      <alignment horizontal="left" vertical="center"/>
    </xf>
    <xf numFmtId="196" fontId="17" fillId="22" borderId="1" xfId="0" applyNumberFormat="1" applyFont="1" applyFill="1" applyBorder="1" applyAlignment="1" applyProtection="1">
      <alignment horizontal="center" vertical="center"/>
      <protection locked="0"/>
    </xf>
    <xf numFmtId="171" fontId="106" fillId="25" borderId="1" xfId="0" applyNumberFormat="1" applyFont="1" applyFill="1" applyBorder="1" applyAlignment="1" applyProtection="1">
      <alignment horizontal="center" vertical="center"/>
      <protection locked="0"/>
    </xf>
    <xf numFmtId="196" fontId="17" fillId="22" borderId="149" xfId="0" applyNumberFormat="1" applyFont="1" applyFill="1" applyBorder="1" applyAlignment="1" applyProtection="1">
      <alignment horizontal="center" vertical="center"/>
      <protection locked="0"/>
    </xf>
    <xf numFmtId="170" fontId="113" fillId="4" borderId="150" xfId="2" applyNumberFormat="1" applyFont="1" applyFill="1" applyBorder="1" applyAlignment="1">
      <alignment vertical="center"/>
    </xf>
    <xf numFmtId="0" fontId="1" fillId="4" borderId="149" xfId="2" applyFill="1" applyBorder="1"/>
    <xf numFmtId="170" fontId="126" fillId="18" borderId="150" xfId="4" applyNumberFormat="1" applyFont="1" applyFill="1" applyBorder="1" applyAlignment="1">
      <alignment horizontal="center" vertical="center"/>
    </xf>
    <xf numFmtId="0" fontId="126" fillId="18" borderId="149" xfId="2" applyFont="1" applyFill="1" applyBorder="1" applyAlignment="1">
      <alignment horizontal="center" vertical="center"/>
    </xf>
    <xf numFmtId="0" fontId="129" fillId="4" borderId="144" xfId="12" applyFont="1" applyFill="1" applyBorder="1"/>
    <xf numFmtId="0" fontId="4" fillId="4" borderId="151" xfId="1" applyFill="1" applyBorder="1" applyProtection="1">
      <protection hidden="1"/>
    </xf>
    <xf numFmtId="0" fontId="4" fillId="4" borderId="183" xfId="1" applyFill="1" applyBorder="1" applyProtection="1">
      <protection hidden="1"/>
    </xf>
    <xf numFmtId="0" fontId="29" fillId="4" borderId="144" xfId="4" applyNumberFormat="1" applyFont="1" applyFill="1" applyBorder="1" applyAlignment="1" applyProtection="1">
      <alignment horizontal="center" vertical="center"/>
      <protection locked="0"/>
    </xf>
    <xf numFmtId="0" fontId="104" fillId="4" borderId="144" xfId="2" applyFont="1" applyFill="1" applyBorder="1" applyAlignment="1">
      <alignment horizontal="left" vertical="center"/>
    </xf>
    <xf numFmtId="167" fontId="44" fillId="4" borderId="132" xfId="4" applyNumberFormat="1" applyFont="1" applyFill="1" applyBorder="1" applyAlignment="1">
      <alignment horizontal="center" vertical="center"/>
    </xf>
    <xf numFmtId="167" fontId="13" fillId="4" borderId="132" xfId="4" applyNumberFormat="1" applyFont="1" applyFill="1" applyBorder="1" applyAlignment="1">
      <alignment horizontal="center" vertical="center"/>
    </xf>
    <xf numFmtId="2" fontId="145" fillId="18" borderId="132" xfId="4" applyNumberFormat="1" applyFont="1" applyFill="1" applyBorder="1" applyAlignment="1">
      <alignment horizontal="center" vertical="center"/>
    </xf>
    <xf numFmtId="169" fontId="13" fillId="18" borderId="132" xfId="4" applyNumberFormat="1" applyFont="1" applyFill="1" applyBorder="1" applyAlignment="1">
      <alignment horizontal="center" vertical="center"/>
    </xf>
    <xf numFmtId="0" fontId="51" fillId="4" borderId="0" xfId="1" applyFont="1" applyFill="1" applyAlignment="1" applyProtection="1">
      <alignment horizontal="left" vertical="center"/>
      <protection hidden="1"/>
    </xf>
    <xf numFmtId="0" fontId="4" fillId="0" borderId="0" xfId="1" applyFill="1" applyAlignment="1">
      <alignment vertical="center"/>
    </xf>
    <xf numFmtId="0" fontId="191" fillId="0" borderId="0" xfId="1" applyFont="1" applyFill="1" applyAlignment="1">
      <alignment vertical="center"/>
    </xf>
    <xf numFmtId="0" fontId="91" fillId="103" borderId="31" xfId="1" applyFont="1" applyFill="1" applyBorder="1" applyAlignment="1">
      <alignment horizontal="right" vertical="center"/>
    </xf>
    <xf numFmtId="14" fontId="4" fillId="0" borderId="203" xfId="1" applyNumberFormat="1" applyBorder="1" applyAlignment="1">
      <alignment horizontal="center" vertical="center"/>
    </xf>
    <xf numFmtId="0" fontId="91" fillId="103" borderId="280" xfId="1" applyFont="1" applyFill="1" applyBorder="1" applyAlignment="1">
      <alignment horizontal="center" vertical="center"/>
    </xf>
    <xf numFmtId="0" fontId="68" fillId="18" borderId="279" xfId="1" applyFont="1" applyFill="1" applyBorder="1" applyAlignment="1">
      <alignment horizontal="center" vertical="center"/>
    </xf>
    <xf numFmtId="0" fontId="68" fillId="18" borderId="280" xfId="1" applyFont="1" applyFill="1" applyBorder="1" applyAlignment="1">
      <alignment horizontal="center" vertical="center"/>
    </xf>
    <xf numFmtId="0" fontId="4" fillId="18" borderId="0" xfId="1" applyFill="1" applyAlignment="1">
      <alignment vertical="center"/>
    </xf>
    <xf numFmtId="0" fontId="101" fillId="104" borderId="0" xfId="1" applyFont="1" applyFill="1" applyBorder="1" applyAlignment="1">
      <alignment horizontal="center" vertical="center"/>
    </xf>
    <xf numFmtId="0" fontId="94" fillId="0" borderId="20" xfId="1" applyFont="1" applyFill="1" applyBorder="1" applyAlignment="1">
      <alignment horizontal="left" vertical="center"/>
    </xf>
    <xf numFmtId="0" fontId="4" fillId="0" borderId="145" xfId="1" applyFill="1" applyBorder="1"/>
    <xf numFmtId="0" fontId="425" fillId="0" borderId="145" xfId="1" applyFont="1" applyFill="1" applyBorder="1" applyAlignment="1">
      <alignment horizontal="center" vertical="center" wrapText="1"/>
    </xf>
    <xf numFmtId="0" fontId="4" fillId="0" borderId="30" xfId="1" applyFill="1" applyBorder="1"/>
    <xf numFmtId="0" fontId="4" fillId="0" borderId="282" xfId="1" applyFont="1" applyFill="1" applyBorder="1" applyAlignment="1">
      <alignment horizontal="center" vertical="center" wrapText="1"/>
    </xf>
    <xf numFmtId="0" fontId="426" fillId="0" borderId="59" xfId="1" applyFont="1" applyFill="1" applyBorder="1" applyAlignment="1">
      <alignment horizontal="center" vertical="center"/>
    </xf>
    <xf numFmtId="0" fontId="191" fillId="0" borderId="283" xfId="1" applyFont="1" applyBorder="1" applyAlignment="1">
      <alignment horizontal="center" vertical="center" wrapText="1"/>
    </xf>
    <xf numFmtId="0" fontId="44" fillId="18" borderId="13" xfId="1" applyFont="1" applyFill="1" applyBorder="1" applyAlignment="1">
      <alignment vertical="center"/>
    </xf>
    <xf numFmtId="0" fontId="44" fillId="18" borderId="3" xfId="1" applyFont="1" applyFill="1" applyBorder="1" applyAlignment="1">
      <alignment vertical="center"/>
    </xf>
    <xf numFmtId="0" fontId="427" fillId="18" borderId="284" xfId="1" applyFont="1" applyFill="1" applyBorder="1" applyAlignment="1">
      <alignment horizontal="center" vertical="center"/>
    </xf>
    <xf numFmtId="0" fontId="425" fillId="18" borderId="284" xfId="1" applyFont="1" applyFill="1" applyBorder="1" applyAlignment="1">
      <alignment horizontal="center" vertical="center"/>
    </xf>
    <xf numFmtId="0" fontId="125" fillId="0" borderId="183" xfId="1" applyFont="1" applyBorder="1" applyAlignment="1">
      <alignment horizontal="center" vertical="center"/>
    </xf>
    <xf numFmtId="0" fontId="44" fillId="18" borderId="144" xfId="1" applyFont="1" applyFill="1" applyBorder="1" applyAlignment="1">
      <alignment horizontal="left" vertical="center"/>
    </xf>
    <xf numFmtId="0" fontId="44" fillId="18" borderId="0" xfId="1" applyFont="1" applyFill="1" applyBorder="1" applyAlignment="1">
      <alignment horizontal="center" vertical="center"/>
    </xf>
    <xf numFmtId="0" fontId="44" fillId="18" borderId="181" xfId="1" applyFont="1" applyFill="1" applyBorder="1" applyAlignment="1">
      <alignment horizontal="right" vertical="center"/>
    </xf>
    <xf numFmtId="167" fontId="82" fillId="0" borderId="279" xfId="1" applyNumberFormat="1" applyFont="1" applyFill="1" applyBorder="1" applyAlignment="1">
      <alignment horizontal="center" vertical="center"/>
    </xf>
    <xf numFmtId="167" fontId="425" fillId="0" borderId="282" xfId="1" applyNumberFormat="1" applyFont="1" applyFill="1" applyBorder="1" applyAlignment="1">
      <alignment horizontal="center" vertical="center"/>
    </xf>
    <xf numFmtId="167" fontId="108" fillId="47" borderId="31" xfId="1" applyNumberFormat="1" applyFont="1" applyFill="1" applyBorder="1" applyAlignment="1" applyProtection="1">
      <alignment horizontal="center" vertical="center"/>
      <protection locked="0"/>
    </xf>
    <xf numFmtId="1" fontId="82" fillId="0" borderId="279" xfId="1" applyNumberFormat="1" applyFont="1" applyFill="1" applyBorder="1" applyAlignment="1">
      <alignment horizontal="center" vertical="center"/>
    </xf>
    <xf numFmtId="171" fontId="125" fillId="40" borderId="285" xfId="1" applyNumberFormat="1" applyFont="1" applyFill="1" applyBorder="1" applyAlignment="1" applyProtection="1">
      <alignment horizontal="center" vertical="center"/>
      <protection locked="0"/>
    </xf>
    <xf numFmtId="0" fontId="13" fillId="18" borderId="144" xfId="1" applyFont="1" applyFill="1" applyBorder="1" applyAlignment="1">
      <alignment horizontal="left" vertical="center"/>
    </xf>
    <xf numFmtId="0" fontId="13" fillId="18" borderId="0" xfId="1" applyFont="1" applyFill="1" applyBorder="1" applyAlignment="1">
      <alignment horizontal="right" vertical="center"/>
    </xf>
    <xf numFmtId="167" fontId="82" fillId="0" borderId="203" xfId="1" applyNumberFormat="1" applyFont="1" applyFill="1" applyBorder="1" applyAlignment="1">
      <alignment horizontal="center" vertical="center"/>
    </xf>
    <xf numFmtId="167" fontId="82" fillId="0" borderId="244" xfId="1" applyNumberFormat="1" applyFont="1" applyFill="1" applyBorder="1" applyAlignment="1">
      <alignment horizontal="center" vertical="center"/>
    </xf>
    <xf numFmtId="167" fontId="82" fillId="0" borderId="31" xfId="1" applyNumberFormat="1" applyFont="1" applyFill="1" applyBorder="1" applyAlignment="1">
      <alignment horizontal="center" vertical="center"/>
    </xf>
    <xf numFmtId="167" fontId="425" fillId="0" borderId="31" xfId="1" applyNumberFormat="1" applyFont="1" applyFill="1" applyBorder="1" applyAlignment="1">
      <alignment horizontal="center" vertical="center"/>
    </xf>
    <xf numFmtId="0" fontId="13" fillId="18" borderId="181" xfId="1" applyFont="1" applyFill="1" applyBorder="1" applyAlignment="1">
      <alignment horizontal="right" vertical="center"/>
    </xf>
    <xf numFmtId="0" fontId="432" fillId="18" borderId="0" xfId="1" applyFont="1" applyFill="1" applyBorder="1" applyAlignment="1">
      <alignment horizontal="center" vertical="center" wrapText="1"/>
    </xf>
    <xf numFmtId="0" fontId="91" fillId="18" borderId="0" xfId="1" applyFont="1" applyFill="1" applyBorder="1" applyAlignment="1">
      <alignment horizontal="right" vertical="center"/>
    </xf>
    <xf numFmtId="167" fontId="207" fillId="18" borderId="0" xfId="1" applyNumberFormat="1" applyFont="1" applyFill="1" applyBorder="1" applyAlignment="1">
      <alignment horizontal="center" vertical="center"/>
    </xf>
    <xf numFmtId="167" fontId="207" fillId="0" borderId="0" xfId="1" applyNumberFormat="1" applyFont="1" applyFill="1" applyBorder="1" applyAlignment="1">
      <alignment horizontal="center" vertical="center"/>
    </xf>
    <xf numFmtId="2" fontId="419" fillId="18" borderId="0" xfId="1" applyNumberFormat="1" applyFont="1" applyFill="1" applyBorder="1" applyAlignment="1">
      <alignment horizontal="center" vertical="center"/>
    </xf>
    <xf numFmtId="1" fontId="433" fillId="25" borderId="196" xfId="1" applyNumberFormat="1" applyFont="1" applyFill="1" applyBorder="1" applyAlignment="1">
      <alignment horizontal="center" vertical="center" wrapText="1"/>
    </xf>
    <xf numFmtId="0" fontId="11" fillId="0" borderId="282" xfId="1" applyFont="1" applyBorder="1" applyAlignment="1">
      <alignment horizontal="centerContinuous" vertical="center"/>
    </xf>
    <xf numFmtId="0" fontId="434" fillId="0" borderId="182" xfId="1" applyFont="1" applyFill="1" applyBorder="1" applyAlignment="1">
      <alignment horizontal="center" vertical="center" wrapText="1"/>
    </xf>
    <xf numFmtId="0" fontId="435" fillId="86" borderId="182" xfId="1" applyFont="1" applyFill="1" applyBorder="1" applyAlignment="1">
      <alignment horizontal="center" vertical="center" wrapText="1"/>
    </xf>
    <xf numFmtId="0" fontId="433" fillId="86" borderId="182" xfId="1" applyFont="1" applyFill="1" applyBorder="1" applyAlignment="1">
      <alignment horizontal="center" vertical="center" wrapText="1"/>
    </xf>
    <xf numFmtId="0" fontId="75" fillId="0" borderId="59" xfId="0" applyFont="1" applyBorder="1" applyAlignment="1">
      <alignment horizontal="right" vertical="center"/>
    </xf>
    <xf numFmtId="2" fontId="74" fillId="0" borderId="59" xfId="2" applyNumberFormat="1" applyFont="1" applyFill="1" applyBorder="1" applyAlignment="1">
      <alignment horizontal="center"/>
    </xf>
    <xf numFmtId="2" fontId="247" fillId="0" borderId="59" xfId="2" applyNumberFormat="1" applyFont="1" applyFill="1" applyBorder="1" applyAlignment="1">
      <alignment horizontal="center" textRotation="90"/>
    </xf>
    <xf numFmtId="2" fontId="74" fillId="22" borderId="59" xfId="2" applyNumberFormat="1" applyFont="1" applyFill="1" applyBorder="1" applyAlignment="1">
      <alignment horizontal="center"/>
    </xf>
    <xf numFmtId="2" fontId="28" fillId="4" borderId="251" xfId="2" applyNumberFormat="1" applyFont="1" applyFill="1" applyBorder="1" applyAlignment="1">
      <alignment horizontal="center" vertical="center"/>
    </xf>
    <xf numFmtId="2" fontId="28" fillId="4" borderId="252" xfId="2" applyNumberFormat="1" applyFont="1" applyFill="1" applyBorder="1" applyAlignment="1">
      <alignment horizontal="center" vertical="center"/>
    </xf>
    <xf numFmtId="2" fontId="437" fillId="4" borderId="0" xfId="2" applyNumberFormat="1" applyFont="1" applyFill="1" applyAlignment="1">
      <alignment horizontal="center" vertical="center"/>
    </xf>
    <xf numFmtId="0" fontId="3" fillId="4" borderId="5" xfId="0" applyFont="1" applyFill="1" applyBorder="1" applyAlignment="1">
      <alignment horizontal="center"/>
    </xf>
    <xf numFmtId="164" fontId="48" fillId="70" borderId="0" xfId="3" applyNumberFormat="1" applyFont="1" applyFill="1" applyBorder="1" applyAlignment="1">
      <alignment horizontal="center" vertical="center"/>
    </xf>
    <xf numFmtId="166" fontId="11" fillId="4" borderId="5" xfId="0" applyNumberFormat="1" applyFont="1" applyFill="1" applyBorder="1" applyAlignment="1" applyProtection="1">
      <alignment horizontal="center" vertical="center"/>
      <protection locked="0"/>
    </xf>
    <xf numFmtId="0" fontId="438" fillId="4" borderId="0" xfId="1" applyNumberFormat="1" applyFont="1" applyFill="1" applyAlignment="1">
      <alignment horizontal="center" vertical="center"/>
    </xf>
    <xf numFmtId="168" fontId="11" fillId="4" borderId="5" xfId="0" applyNumberFormat="1" applyFont="1" applyFill="1" applyBorder="1" applyAlignment="1" applyProtection="1">
      <alignment horizontal="center" vertical="center"/>
      <protection locked="0"/>
    </xf>
    <xf numFmtId="0" fontId="338" fillId="36" borderId="6" xfId="1" applyFont="1" applyFill="1" applyBorder="1" applyAlignment="1">
      <alignment horizontal="center" vertical="center"/>
    </xf>
    <xf numFmtId="0" fontId="338" fillId="36" borderId="0" xfId="1" applyFont="1" applyFill="1" applyBorder="1" applyAlignment="1">
      <alignment vertical="center"/>
    </xf>
    <xf numFmtId="0" fontId="343" fillId="36" borderId="5" xfId="1" applyFont="1" applyFill="1" applyBorder="1" applyAlignment="1">
      <alignment horizontal="center" vertical="center"/>
    </xf>
    <xf numFmtId="164" fontId="42" fillId="70" borderId="0" xfId="3" applyNumberFormat="1" applyFont="1" applyFill="1" applyBorder="1" applyAlignment="1">
      <alignment horizontal="center" vertical="center"/>
    </xf>
    <xf numFmtId="168" fontId="11" fillId="18" borderId="5" xfId="0" applyNumberFormat="1" applyFont="1" applyFill="1" applyBorder="1" applyAlignment="1" applyProtection="1">
      <alignment horizontal="center" vertical="center"/>
      <protection locked="0"/>
    </xf>
    <xf numFmtId="171" fontId="233" fillId="25" borderId="0" xfId="0" applyNumberFormat="1" applyFont="1" applyFill="1" applyBorder="1" applyAlignment="1" applyProtection="1">
      <alignment horizontal="center" vertical="center"/>
      <protection locked="0"/>
    </xf>
    <xf numFmtId="2" fontId="439" fillId="4" borderId="0" xfId="2" applyNumberFormat="1" applyFont="1" applyFill="1" applyAlignment="1">
      <alignment horizontal="left" vertical="center"/>
    </xf>
    <xf numFmtId="2" fontId="28" fillId="4" borderId="0" xfId="2" applyNumberFormat="1" applyFont="1" applyFill="1" applyAlignment="1">
      <alignment horizontal="right" vertical="center"/>
    </xf>
    <xf numFmtId="0" fontId="26" fillId="4" borderId="277" xfId="0" applyFont="1" applyFill="1" applyBorder="1" applyAlignment="1">
      <alignment horizontal="left" vertical="center"/>
    </xf>
    <xf numFmtId="0" fontId="0" fillId="4" borderId="277" xfId="0" applyFill="1" applyBorder="1" applyAlignment="1">
      <alignment vertical="center" wrapText="1"/>
    </xf>
    <xf numFmtId="0" fontId="26" fillId="4" borderId="277" xfId="0" applyFont="1" applyFill="1" applyBorder="1" applyAlignment="1">
      <alignment horizontal="right" vertical="center"/>
    </xf>
    <xf numFmtId="166" fontId="41" fillId="70" borderId="290" xfId="3" applyNumberFormat="1" applyFont="1" applyFill="1" applyBorder="1" applyAlignment="1">
      <alignment horizontal="center" vertical="center"/>
    </xf>
    <xf numFmtId="0" fontId="177" fillId="2" borderId="183" xfId="0" applyFont="1" applyFill="1" applyBorder="1" applyAlignment="1">
      <alignment horizontal="center" vertical="center" wrapText="1"/>
    </xf>
    <xf numFmtId="2" fontId="403" fillId="16" borderId="0" xfId="1" applyNumberFormat="1" applyFont="1" applyFill="1" applyBorder="1" applyAlignment="1">
      <alignment horizontal="right" vertical="center"/>
    </xf>
    <xf numFmtId="0" fontId="0" fillId="13" borderId="190" xfId="0" applyFill="1" applyBorder="1" applyAlignment="1"/>
    <xf numFmtId="0" fontId="214" fillId="37" borderId="144" xfId="1" applyFont="1" applyFill="1" applyBorder="1" applyAlignment="1">
      <alignment horizontal="left" vertical="center"/>
    </xf>
    <xf numFmtId="166" fontId="41" fillId="70" borderId="282" xfId="3" applyNumberFormat="1" applyFont="1" applyFill="1" applyBorder="1" applyAlignment="1">
      <alignment horizontal="center" vertical="center"/>
    </xf>
    <xf numFmtId="0" fontId="17" fillId="14" borderId="20" xfId="1" applyNumberFormat="1" applyFont="1" applyFill="1" applyBorder="1" applyAlignment="1">
      <alignment horizontal="center" vertical="center"/>
    </xf>
    <xf numFmtId="0" fontId="17" fillId="14" borderId="292" xfId="1" applyNumberFormat="1" applyFont="1" applyFill="1" applyBorder="1" applyAlignment="1">
      <alignment horizontal="center" vertical="center"/>
    </xf>
    <xf numFmtId="167" fontId="55" fillId="4" borderId="203" xfId="3" applyNumberFormat="1" applyFont="1" applyFill="1" applyBorder="1" applyAlignment="1">
      <alignment horizontal="center"/>
    </xf>
    <xf numFmtId="0" fontId="238" fillId="23" borderId="145" xfId="1" applyFont="1" applyFill="1" applyBorder="1" applyAlignment="1" applyProtection="1">
      <alignment horizontal="center" vertical="center"/>
      <protection hidden="1"/>
    </xf>
    <xf numFmtId="169" fontId="39" fillId="4" borderId="144" xfId="2" applyNumberFormat="1" applyFont="1" applyFill="1" applyBorder="1" applyAlignment="1">
      <alignment horizontal="right" vertical="center"/>
    </xf>
    <xf numFmtId="167" fontId="35" fillId="90" borderId="203" xfId="2" applyNumberFormat="1" applyFont="1" applyFill="1" applyBorder="1" applyAlignment="1">
      <alignment horizontal="left" vertical="center" wrapText="1"/>
    </xf>
    <xf numFmtId="166" fontId="34" fillId="90" borderId="145" xfId="3" applyNumberFormat="1" applyFont="1" applyFill="1" applyBorder="1" applyAlignment="1">
      <alignment horizontal="center" vertical="center"/>
    </xf>
    <xf numFmtId="169" fontId="172" fillId="4" borderId="144" xfId="2" applyNumberFormat="1" applyFont="1" applyFill="1" applyBorder="1" applyAlignment="1">
      <alignment horizontal="right" vertical="center"/>
    </xf>
    <xf numFmtId="0" fontId="240" fillId="4" borderId="3" xfId="0" applyFont="1" applyFill="1" applyBorder="1" applyAlignment="1">
      <alignment vertical="center"/>
    </xf>
    <xf numFmtId="166" fontId="21" fillId="11" borderId="217" xfId="3" applyNumberFormat="1" applyFont="1" applyFill="1" applyBorder="1" applyAlignment="1">
      <alignment horizontal="left" vertical="center"/>
    </xf>
    <xf numFmtId="0" fontId="70" fillId="77" borderId="5" xfId="0" applyFont="1" applyFill="1" applyBorder="1" applyAlignment="1">
      <alignment horizontal="left" vertical="center"/>
    </xf>
    <xf numFmtId="0" fontId="70" fillId="77" borderId="293" xfId="0" applyFont="1" applyFill="1" applyBorder="1" applyAlignment="1">
      <alignment horizontal="left" vertical="center"/>
    </xf>
    <xf numFmtId="0" fontId="260" fillId="77" borderId="215" xfId="0" applyFont="1" applyFill="1" applyBorder="1" applyAlignment="1">
      <alignment vertical="center"/>
    </xf>
    <xf numFmtId="0" fontId="70" fillId="77" borderId="0" xfId="0" applyFont="1" applyFill="1" applyBorder="1" applyAlignment="1">
      <alignment horizontal="left" vertical="center"/>
    </xf>
    <xf numFmtId="0" fontId="232" fillId="77" borderId="5" xfId="0" applyFont="1" applyFill="1" applyBorder="1" applyAlignment="1">
      <alignment horizontal="right" vertical="center"/>
    </xf>
    <xf numFmtId="0" fontId="71" fillId="4" borderId="0" xfId="0" applyFont="1" applyFill="1"/>
    <xf numFmtId="0" fontId="406" fillId="13" borderId="0" xfId="0" applyFont="1" applyFill="1" applyBorder="1" applyAlignment="1">
      <alignment vertical="center" wrapText="1"/>
    </xf>
    <xf numFmtId="0" fontId="63" fillId="4" borderId="20" xfId="2" applyFont="1" applyFill="1" applyBorder="1" applyAlignment="1" applyProtection="1">
      <alignment horizontal="center" vertical="center"/>
      <protection locked="0"/>
    </xf>
    <xf numFmtId="0" fontId="440" fillId="4" borderId="200" xfId="1" applyFont="1" applyFill="1" applyBorder="1" applyAlignment="1" applyProtection="1">
      <alignment vertical="center"/>
      <protection hidden="1"/>
    </xf>
    <xf numFmtId="0" fontId="441" fillId="4" borderId="0" xfId="1" applyFont="1" applyFill="1" applyBorder="1" applyAlignment="1" applyProtection="1">
      <alignment horizontal="right" vertical="center"/>
      <protection hidden="1"/>
    </xf>
    <xf numFmtId="0" fontId="441" fillId="4" borderId="0" xfId="1" applyFont="1" applyFill="1" applyBorder="1" applyAlignment="1" applyProtection="1">
      <alignment horizontal="center" vertical="center"/>
      <protection hidden="1"/>
    </xf>
    <xf numFmtId="0" fontId="440" fillId="4" borderId="0" xfId="0" applyFont="1" applyFill="1" applyBorder="1" applyAlignment="1" applyProtection="1">
      <alignment vertical="center"/>
      <protection locked="0"/>
    </xf>
    <xf numFmtId="0" fontId="440" fillId="4" borderId="10" xfId="0" applyFont="1" applyFill="1" applyBorder="1" applyAlignment="1" applyProtection="1">
      <alignment vertical="center"/>
      <protection locked="0"/>
    </xf>
    <xf numFmtId="168" fontId="24" fillId="17" borderId="0" xfId="1" applyNumberFormat="1" applyFont="1" applyFill="1" applyBorder="1" applyAlignment="1">
      <alignment horizontal="center" vertical="center"/>
    </xf>
    <xf numFmtId="0" fontId="440" fillId="4" borderId="144" xfId="1" applyFont="1" applyFill="1" applyBorder="1" applyAlignment="1" applyProtection="1">
      <alignment horizontal="left" vertical="center"/>
      <protection hidden="1"/>
    </xf>
    <xf numFmtId="0" fontId="442" fillId="23" borderId="145" xfId="1" applyFont="1" applyFill="1" applyBorder="1" applyAlignment="1" applyProtection="1">
      <alignment horizontal="center" vertical="center"/>
      <protection hidden="1"/>
    </xf>
    <xf numFmtId="0" fontId="56" fillId="4" borderId="200" xfId="1" applyFont="1" applyFill="1" applyBorder="1" applyAlignment="1" applyProtection="1">
      <alignment horizontal="center" vertical="center" wrapText="1"/>
      <protection hidden="1"/>
    </xf>
    <xf numFmtId="0" fontId="56" fillId="4" borderId="277" xfId="1" applyFont="1" applyFill="1" applyBorder="1" applyAlignment="1" applyProtection="1">
      <alignment horizontal="center" vertical="center" wrapText="1"/>
      <protection hidden="1"/>
    </xf>
    <xf numFmtId="0" fontId="56" fillId="4" borderId="243" xfId="1" applyFont="1" applyFill="1" applyBorder="1" applyAlignment="1" applyProtection="1">
      <alignment horizontal="center" vertical="center" wrapText="1"/>
      <protection hidden="1"/>
    </xf>
    <xf numFmtId="0" fontId="5" fillId="4" borderId="0" xfId="1" applyFont="1" applyFill="1" applyBorder="1" applyAlignment="1" applyProtection="1">
      <alignment horizontal="center" vertical="center" wrapText="1"/>
      <protection hidden="1"/>
    </xf>
    <xf numFmtId="0" fontId="5" fillId="4" borderId="10" xfId="1" applyFont="1" applyFill="1" applyBorder="1" applyAlignment="1" applyProtection="1">
      <alignment horizontal="center" vertical="center" wrapText="1"/>
      <protection hidden="1"/>
    </xf>
    <xf numFmtId="0" fontId="34" fillId="8" borderId="200" xfId="2" applyFont="1" applyFill="1" applyBorder="1" applyAlignment="1" applyProtection="1">
      <alignment horizontal="center" vertical="center"/>
      <protection locked="0"/>
    </xf>
    <xf numFmtId="167" fontId="35" fillId="8" borderId="277" xfId="2" applyNumberFormat="1" applyFont="1" applyFill="1" applyBorder="1" applyAlignment="1">
      <alignment horizontal="left" vertical="center" wrapText="1"/>
    </xf>
    <xf numFmtId="166" fontId="34" fillId="8" borderId="277" xfId="3" applyNumberFormat="1" applyFont="1" applyFill="1" applyBorder="1" applyAlignment="1">
      <alignment horizontal="center" vertical="center"/>
    </xf>
    <xf numFmtId="0" fontId="443" fillId="8" borderId="277" xfId="2" applyFont="1" applyFill="1" applyBorder="1" applyAlignment="1">
      <alignment horizontal="center" vertical="center"/>
    </xf>
    <xf numFmtId="168" fontId="32" fillId="17" borderId="0" xfId="1" applyNumberFormat="1" applyFont="1" applyFill="1" applyBorder="1" applyAlignment="1">
      <alignment horizontal="center" vertical="center"/>
    </xf>
    <xf numFmtId="0" fontId="37" fillId="4" borderId="0" xfId="2" applyFont="1" applyFill="1" applyBorder="1" applyAlignment="1">
      <alignment horizontal="center" vertical="center"/>
    </xf>
    <xf numFmtId="0" fontId="34" fillId="8" borderId="144" xfId="2" applyFont="1" applyFill="1" applyBorder="1" applyAlignment="1" applyProtection="1">
      <alignment horizontal="center" vertical="center"/>
      <protection locked="0"/>
    </xf>
    <xf numFmtId="167" fontId="35" fillId="8" borderId="0" xfId="2" applyNumberFormat="1" applyFont="1" applyFill="1" applyBorder="1" applyAlignment="1">
      <alignment horizontal="left" vertical="center" wrapText="1"/>
    </xf>
    <xf numFmtId="166" fontId="34" fillId="8" borderId="0" xfId="3" applyNumberFormat="1" applyFont="1" applyFill="1" applyBorder="1" applyAlignment="1">
      <alignment horizontal="center" vertical="center"/>
    </xf>
    <xf numFmtId="0" fontId="443" fillId="8" borderId="0" xfId="2" applyFont="1" applyFill="1" applyBorder="1" applyAlignment="1">
      <alignment horizontal="center" vertical="center"/>
    </xf>
    <xf numFmtId="0" fontId="444" fillId="4" borderId="0" xfId="2" applyFont="1" applyFill="1" applyBorder="1" applyAlignment="1">
      <alignment horizontal="center" vertical="center"/>
    </xf>
    <xf numFmtId="0" fontId="440" fillId="4" borderId="144" xfId="1" applyFont="1" applyFill="1" applyBorder="1" applyAlignment="1" applyProtection="1">
      <alignment horizontal="center" vertical="center"/>
      <protection hidden="1"/>
    </xf>
    <xf numFmtId="166" fontId="388" fillId="4" borderId="0" xfId="3" applyNumberFormat="1" applyFont="1" applyFill="1" applyBorder="1" applyAlignment="1">
      <alignment horizontal="center" vertical="center"/>
    </xf>
    <xf numFmtId="0" fontId="445" fillId="4" borderId="0" xfId="2" applyFont="1" applyFill="1" applyBorder="1" applyAlignment="1">
      <alignment horizontal="center" vertical="center"/>
    </xf>
    <xf numFmtId="168" fontId="388" fillId="13" borderId="0" xfId="3" applyNumberFormat="1" applyFont="1" applyFill="1" applyBorder="1" applyAlignment="1">
      <alignment horizontal="center" vertical="center"/>
    </xf>
    <xf numFmtId="166" fontId="273" fillId="8" borderId="0" xfId="3" applyNumberFormat="1" applyFont="1" applyFill="1" applyBorder="1" applyAlignment="1">
      <alignment horizontal="center" vertical="center"/>
    </xf>
    <xf numFmtId="0" fontId="84" fillId="8" borderId="0" xfId="2" applyFont="1" applyFill="1" applyBorder="1" applyAlignment="1">
      <alignment horizontal="center" vertical="center"/>
    </xf>
    <xf numFmtId="166" fontId="56" fillId="8" borderId="0" xfId="3" applyNumberFormat="1" applyFont="1" applyFill="1" applyBorder="1" applyAlignment="1">
      <alignment horizontal="center" vertical="center"/>
    </xf>
    <xf numFmtId="10" fontId="444" fillId="4" borderId="0" xfId="2" applyNumberFormat="1" applyFont="1" applyFill="1" applyBorder="1" applyAlignment="1">
      <alignment horizontal="center" vertical="center"/>
    </xf>
    <xf numFmtId="10" fontId="446" fillId="8" borderId="0" xfId="2" applyNumberFormat="1" applyFont="1" applyFill="1" applyBorder="1" applyAlignment="1">
      <alignment horizontal="center" vertical="center"/>
    </xf>
    <xf numFmtId="169" fontId="39" fillId="4" borderId="295" xfId="2" applyNumberFormat="1" applyFont="1" applyFill="1" applyBorder="1" applyAlignment="1">
      <alignment horizontal="right" vertical="center"/>
    </xf>
    <xf numFmtId="0" fontId="7" fillId="4" borderId="29" xfId="2" applyFont="1" applyFill="1" applyBorder="1" applyAlignment="1">
      <alignment horizontal="left" vertical="center"/>
    </xf>
    <xf numFmtId="166" fontId="38" fillId="4" borderId="296" xfId="3" applyNumberFormat="1" applyFont="1" applyFill="1" applyBorder="1" applyAlignment="1">
      <alignment horizontal="center" vertical="center"/>
    </xf>
    <xf numFmtId="0" fontId="444" fillId="4" borderId="29" xfId="2" applyFont="1" applyFill="1" applyBorder="1" applyAlignment="1">
      <alignment horizontal="center" vertical="center"/>
    </xf>
    <xf numFmtId="0" fontId="34" fillId="8" borderId="20" xfId="2" applyFont="1" applyFill="1" applyBorder="1" applyAlignment="1" applyProtection="1">
      <alignment horizontal="center" vertical="center"/>
      <protection locked="0"/>
    </xf>
    <xf numFmtId="167" fontId="35" fillId="8" borderId="145" xfId="2" applyNumberFormat="1" applyFont="1" applyFill="1" applyBorder="1" applyAlignment="1">
      <alignment horizontal="left" vertical="center" wrapText="1"/>
    </xf>
    <xf numFmtId="166" fontId="34" fillId="8" borderId="145" xfId="3" applyNumberFormat="1" applyFont="1" applyFill="1" applyBorder="1" applyAlignment="1">
      <alignment horizontal="center" vertical="center"/>
    </xf>
    <xf numFmtId="169" fontId="138" fillId="13" borderId="297" xfId="2" applyNumberFormat="1" applyFont="1" applyFill="1" applyBorder="1" applyAlignment="1">
      <alignment horizontal="left" vertical="center"/>
    </xf>
    <xf numFmtId="0" fontId="7" fillId="13" borderId="41" xfId="2" applyFont="1" applyFill="1" applyBorder="1" applyAlignment="1">
      <alignment horizontal="left" vertical="center"/>
    </xf>
    <xf numFmtId="164" fontId="118" fillId="13" borderId="41" xfId="2" applyNumberFormat="1" applyFont="1" applyFill="1" applyBorder="1" applyAlignment="1" applyProtection="1">
      <alignment horizontal="center" vertical="center"/>
      <protection locked="0"/>
    </xf>
    <xf numFmtId="0" fontId="5" fillId="4" borderId="298" xfId="1" applyFont="1" applyFill="1" applyBorder="1" applyAlignment="1" applyProtection="1">
      <alignment horizontal="right" vertical="center"/>
      <protection hidden="1"/>
    </xf>
    <xf numFmtId="164" fontId="118" fillId="4" borderId="299" xfId="2" applyNumberFormat="1" applyFont="1" applyFill="1" applyBorder="1" applyAlignment="1" applyProtection="1">
      <alignment horizontal="center" vertical="center"/>
      <protection locked="0"/>
    </xf>
    <xf numFmtId="0" fontId="33" fillId="18" borderId="277" xfId="2" applyFont="1" applyFill="1" applyBorder="1" applyAlignment="1">
      <alignment horizontal="left" vertical="center"/>
    </xf>
    <xf numFmtId="168" fontId="32" fillId="17" borderId="277" xfId="1" applyNumberFormat="1" applyFont="1" applyFill="1" applyBorder="1" applyAlignment="1">
      <alignment horizontal="center" vertical="center"/>
    </xf>
    <xf numFmtId="0" fontId="34" fillId="19" borderId="144" xfId="2" applyFont="1" applyFill="1" applyBorder="1" applyAlignment="1" applyProtection="1">
      <alignment horizontal="center" vertical="center"/>
      <protection locked="0"/>
    </xf>
    <xf numFmtId="167" fontId="35" fillId="20" borderId="277" xfId="2" applyNumberFormat="1" applyFont="1" applyFill="1" applyBorder="1" applyAlignment="1">
      <alignment horizontal="left" vertical="center" wrapText="1"/>
    </xf>
    <xf numFmtId="166" fontId="34" fillId="19" borderId="0" xfId="3" applyNumberFormat="1" applyFont="1" applyFill="1" applyBorder="1" applyAlignment="1">
      <alignment horizontal="center" vertical="center"/>
    </xf>
    <xf numFmtId="169" fontId="39" fillId="22" borderId="297" xfId="2" applyNumberFormat="1" applyFont="1" applyFill="1" applyBorder="1" applyAlignment="1">
      <alignment horizontal="right" vertical="center"/>
    </xf>
    <xf numFmtId="0" fontId="7" fillId="22" borderId="41" xfId="2" applyFont="1" applyFill="1" applyBorder="1" applyAlignment="1">
      <alignment horizontal="left" vertical="center"/>
    </xf>
    <xf numFmtId="166" fontId="62" fillId="22" borderId="300" xfId="3" applyNumberFormat="1" applyFont="1" applyFill="1" applyBorder="1" applyAlignment="1">
      <alignment horizontal="center" vertical="center"/>
    </xf>
    <xf numFmtId="0" fontId="447" fillId="22" borderId="41" xfId="2" applyFont="1" applyFill="1" applyBorder="1" applyAlignment="1">
      <alignment horizontal="left" vertical="center"/>
    </xf>
    <xf numFmtId="0" fontId="37" fillId="22" borderId="299" xfId="2" applyFont="1" applyFill="1" applyBorder="1" applyAlignment="1">
      <alignment horizontal="left" vertical="center"/>
    </xf>
    <xf numFmtId="0" fontId="448" fillId="90" borderId="297" xfId="2" applyFont="1" applyFill="1" applyBorder="1" applyAlignment="1" applyProtection="1">
      <alignment horizontal="center" vertical="center"/>
      <protection locked="0"/>
    </xf>
    <xf numFmtId="167" fontId="449" fillId="90" borderId="41" xfId="2" applyNumberFormat="1" applyFont="1" applyFill="1" applyBorder="1" applyAlignment="1">
      <alignment horizontal="left" vertical="center" wrapText="1"/>
    </xf>
    <xf numFmtId="166" fontId="450" fillId="90" borderId="41" xfId="3" applyNumberFormat="1" applyFont="1" applyFill="1" applyBorder="1" applyAlignment="1">
      <alignment horizontal="center" vertical="center"/>
    </xf>
    <xf numFmtId="0" fontId="451" fillId="18" borderId="41" xfId="2" applyFont="1" applyFill="1" applyBorder="1" applyAlignment="1">
      <alignment horizontal="left" vertical="center"/>
    </xf>
    <xf numFmtId="167" fontId="32" fillId="55" borderId="0" xfId="1" applyNumberFormat="1" applyFont="1" applyFill="1" applyBorder="1" applyAlignment="1">
      <alignment horizontal="center" vertical="center"/>
    </xf>
    <xf numFmtId="169" fontId="39" fillId="22" borderId="295" xfId="2" applyNumberFormat="1" applyFont="1" applyFill="1" applyBorder="1" applyAlignment="1">
      <alignment horizontal="right" vertical="center"/>
    </xf>
    <xf numFmtId="0" fontId="7" fillId="22" borderId="29" xfId="2" applyFont="1" applyFill="1" applyBorder="1" applyAlignment="1">
      <alignment horizontal="left" vertical="center"/>
    </xf>
    <xf numFmtId="166" fontId="452" fillId="22" borderId="296" xfId="3" applyNumberFormat="1" applyFont="1" applyFill="1" applyBorder="1" applyAlignment="1">
      <alignment horizontal="center" vertical="center"/>
    </xf>
    <xf numFmtId="0" fontId="447" fillId="22" borderId="29" xfId="2" applyFont="1" applyFill="1" applyBorder="1" applyAlignment="1">
      <alignment horizontal="left" vertical="center"/>
    </xf>
    <xf numFmtId="0" fontId="37" fillId="22" borderId="28" xfId="2" applyFont="1" applyFill="1" applyBorder="1" applyAlignment="1">
      <alignment horizontal="left" vertical="center"/>
    </xf>
    <xf numFmtId="166" fontId="448" fillId="90" borderId="295" xfId="3" applyNumberFormat="1" applyFont="1" applyFill="1" applyBorder="1" applyAlignment="1">
      <alignment horizontal="center" vertical="center"/>
    </xf>
    <xf numFmtId="167" fontId="449" fillId="90" borderId="29" xfId="2" applyNumberFormat="1" applyFont="1" applyFill="1" applyBorder="1" applyAlignment="1">
      <alignment horizontal="left" vertical="center" wrapText="1"/>
    </xf>
    <xf numFmtId="166" fontId="450" fillId="90" borderId="29" xfId="3" applyNumberFormat="1" applyFont="1" applyFill="1" applyBorder="1" applyAlignment="1">
      <alignment horizontal="center" vertical="center"/>
    </xf>
    <xf numFmtId="0" fontId="451" fillId="18" borderId="29" xfId="2" applyFont="1" applyFill="1" applyBorder="1" applyAlignment="1">
      <alignment horizontal="left" vertical="center"/>
    </xf>
    <xf numFmtId="2" fontId="39" fillId="4" borderId="144" xfId="2" applyNumberFormat="1" applyFont="1" applyFill="1" applyBorder="1" applyAlignment="1">
      <alignment horizontal="right" vertical="center"/>
    </xf>
    <xf numFmtId="168" fontId="34" fillId="19" borderId="145" xfId="3" applyNumberFormat="1" applyFont="1" applyFill="1" applyBorder="1" applyAlignment="1">
      <alignment horizontal="center" vertical="center"/>
    </xf>
    <xf numFmtId="168" fontId="387" fillId="17" borderId="0" xfId="1" applyNumberFormat="1" applyFont="1" applyFill="1" applyBorder="1" applyAlignment="1">
      <alignment horizontal="center" vertical="center"/>
    </xf>
    <xf numFmtId="0" fontId="278" fillId="4" borderId="0" xfId="1" applyFont="1" applyFill="1" applyBorder="1" applyAlignment="1" applyProtection="1">
      <alignment horizontal="left" vertical="center"/>
      <protection hidden="1"/>
    </xf>
    <xf numFmtId="166" fontId="21" fillId="12" borderId="4" xfId="3" applyNumberFormat="1" applyFont="1" applyFill="1" applyBorder="1" applyAlignment="1">
      <alignment horizontal="center" vertical="center"/>
    </xf>
    <xf numFmtId="0" fontId="14" fillId="4" borderId="302" xfId="0" applyFont="1" applyFill="1" applyBorder="1" applyAlignment="1">
      <alignment vertical="center"/>
    </xf>
    <xf numFmtId="0" fontId="241" fillId="0" borderId="302" xfId="8" applyFont="1" applyBorder="1" applyAlignment="1">
      <alignment vertical="center"/>
    </xf>
    <xf numFmtId="0" fontId="453" fillId="4" borderId="302" xfId="0" applyFont="1" applyFill="1" applyBorder="1" applyAlignment="1">
      <alignment vertical="center"/>
    </xf>
    <xf numFmtId="0" fontId="453" fillId="4" borderId="303" xfId="0" applyFont="1" applyFill="1" applyBorder="1" applyAlignment="1">
      <alignment vertical="center"/>
    </xf>
    <xf numFmtId="0" fontId="14" fillId="4" borderId="305" xfId="0" applyFont="1" applyFill="1" applyBorder="1" applyAlignment="1">
      <alignment vertical="center"/>
    </xf>
    <xf numFmtId="0" fontId="241" fillId="0" borderId="305" xfId="8" applyFont="1" applyBorder="1" applyAlignment="1">
      <alignment vertical="center"/>
    </xf>
    <xf numFmtId="0" fontId="453" fillId="4" borderId="305" xfId="0" applyFont="1" applyFill="1" applyBorder="1" applyAlignment="1">
      <alignment vertical="center"/>
    </xf>
    <xf numFmtId="0" fontId="453" fillId="4" borderId="306" xfId="0" applyFont="1" applyFill="1" applyBorder="1" applyAlignment="1">
      <alignment vertical="center"/>
    </xf>
    <xf numFmtId="164" fontId="63" fillId="4" borderId="219" xfId="3" applyNumberFormat="1" applyFont="1" applyFill="1" applyBorder="1" applyAlignment="1">
      <alignment horizontal="center" vertical="center"/>
    </xf>
    <xf numFmtId="196" fontId="63" fillId="4" borderId="219" xfId="3" applyNumberFormat="1" applyFont="1" applyFill="1" applyBorder="1" applyAlignment="1">
      <alignment horizontal="center" vertical="center"/>
    </xf>
    <xf numFmtId="166" fontId="63" fillId="4" borderId="219" xfId="3" applyNumberFormat="1" applyFont="1" applyFill="1" applyBorder="1" applyAlignment="1">
      <alignment horizontal="center" vertical="center"/>
    </xf>
    <xf numFmtId="164" fontId="454" fillId="4" borderId="219" xfId="3" applyNumberFormat="1" applyFont="1" applyFill="1" applyBorder="1" applyAlignment="1">
      <alignment horizontal="center" vertical="center"/>
    </xf>
    <xf numFmtId="0" fontId="167" fillId="4" borderId="219" xfId="2" applyFont="1" applyFill="1" applyBorder="1" applyAlignment="1">
      <alignment horizontal="center" vertical="center"/>
    </xf>
    <xf numFmtId="0" fontId="17" fillId="13" borderId="276" xfId="1" applyNumberFormat="1" applyFont="1" applyFill="1" applyBorder="1" applyAlignment="1">
      <alignment horizontal="left" vertical="center"/>
    </xf>
    <xf numFmtId="0" fontId="11" fillId="13" borderId="276" xfId="0" applyFont="1" applyFill="1" applyBorder="1" applyAlignment="1">
      <alignment horizontal="center" vertical="center"/>
    </xf>
    <xf numFmtId="0" fontId="17" fillId="22" borderId="276" xfId="1" applyNumberFormat="1" applyFont="1" applyFill="1" applyBorder="1" applyAlignment="1">
      <alignment horizontal="left" vertical="center"/>
    </xf>
    <xf numFmtId="0" fontId="11" fillId="22" borderId="276" xfId="0" applyFont="1" applyFill="1" applyBorder="1" applyAlignment="1">
      <alignment horizontal="center" vertical="center"/>
    </xf>
    <xf numFmtId="0" fontId="17" fillId="0" borderId="276" xfId="1" applyNumberFormat="1" applyFont="1" applyFill="1" applyBorder="1" applyAlignment="1">
      <alignment horizontal="left" vertical="center"/>
    </xf>
    <xf numFmtId="0" fontId="11" fillId="0" borderId="276" xfId="0" applyFont="1" applyFill="1" applyBorder="1" applyAlignment="1">
      <alignment horizontal="center" vertical="center"/>
    </xf>
    <xf numFmtId="164" fontId="224" fillId="70" borderId="282" xfId="3" applyNumberFormat="1" applyFont="1" applyFill="1" applyBorder="1" applyAlignment="1">
      <alignment horizontal="center" vertical="center"/>
    </xf>
    <xf numFmtId="0" fontId="338" fillId="36" borderId="307" xfId="2" applyFont="1" applyFill="1" applyBorder="1" applyAlignment="1" applyProtection="1">
      <alignment horizontal="center" vertical="center"/>
      <protection locked="0"/>
    </xf>
    <xf numFmtId="0" fontId="25" fillId="4" borderId="180" xfId="1" applyFont="1" applyFill="1" applyBorder="1" applyAlignment="1" applyProtection="1">
      <alignment horizontal="left" vertical="center"/>
      <protection hidden="1"/>
    </xf>
    <xf numFmtId="0" fontId="211" fillId="14" borderId="180" xfId="1" applyNumberFormat="1" applyFont="1" applyFill="1" applyBorder="1" applyAlignment="1">
      <alignment horizontal="center"/>
    </xf>
    <xf numFmtId="0" fontId="28" fillId="4" borderId="309" xfId="0" applyFont="1" applyFill="1" applyBorder="1" applyAlignment="1">
      <alignment horizontal="center" vertical="center"/>
    </xf>
    <xf numFmtId="0" fontId="0" fillId="4" borderId="310" xfId="0" applyFill="1" applyBorder="1"/>
    <xf numFmtId="0" fontId="0" fillId="4" borderId="311" xfId="0" applyFill="1" applyBorder="1"/>
    <xf numFmtId="0" fontId="14" fillId="4" borderId="311" xfId="0" applyFont="1" applyFill="1" applyBorder="1" applyAlignment="1">
      <alignment vertical="center"/>
    </xf>
    <xf numFmtId="0" fontId="78" fillId="4" borderId="3" xfId="8" applyFill="1" applyBorder="1" applyAlignment="1">
      <alignment vertical="center"/>
    </xf>
    <xf numFmtId="164" fontId="24" fillId="105" borderId="0" xfId="3" applyNumberFormat="1" applyFont="1" applyFill="1" applyBorder="1" applyAlignment="1">
      <alignment horizontal="center" vertical="center"/>
    </xf>
    <xf numFmtId="10" fontId="17" fillId="106" borderId="0" xfId="21" applyNumberFormat="1" applyFont="1" applyFill="1" applyBorder="1" applyAlignment="1">
      <alignment horizontal="center" vertical="center"/>
    </xf>
    <xf numFmtId="165" fontId="17" fillId="106" borderId="0" xfId="21" applyNumberFormat="1" applyFont="1" applyFill="1" applyBorder="1" applyAlignment="1">
      <alignment horizontal="center" vertical="center"/>
    </xf>
    <xf numFmtId="213" fontId="63" fillId="4" borderId="221" xfId="3" applyNumberFormat="1" applyFont="1" applyFill="1" applyBorder="1" applyAlignment="1">
      <alignment horizontal="center" vertical="center"/>
    </xf>
    <xf numFmtId="196" fontId="21" fillId="46" borderId="0" xfId="3" applyNumberFormat="1" applyFont="1" applyFill="1" applyBorder="1" applyAlignment="1">
      <alignment horizontal="center" vertical="center"/>
    </xf>
    <xf numFmtId="0" fontId="37" fillId="11" borderId="0" xfId="2" applyFont="1" applyFill="1" applyBorder="1" applyAlignment="1">
      <alignment horizontal="left" vertical="center"/>
    </xf>
    <xf numFmtId="0" fontId="264" fillId="14" borderId="0" xfId="1" applyNumberFormat="1" applyFont="1" applyFill="1" applyBorder="1" applyAlignment="1">
      <alignment horizontal="left" vertical="center" wrapText="1"/>
    </xf>
    <xf numFmtId="0" fontId="455" fillId="107" borderId="0" xfId="1" applyFont="1" applyFill="1" applyBorder="1" applyAlignment="1">
      <alignment horizontal="left" vertical="center" wrapText="1"/>
    </xf>
    <xf numFmtId="0" fontId="455" fillId="108" borderId="0" xfId="1" applyNumberFormat="1" applyFont="1" applyFill="1" applyBorder="1" applyAlignment="1">
      <alignment horizontal="left" vertical="center" wrapText="1"/>
    </xf>
    <xf numFmtId="0" fontId="456" fillId="78" borderId="0" xfId="0" applyFont="1" applyFill="1" applyBorder="1" applyAlignment="1">
      <alignment vertical="center" wrapText="1"/>
    </xf>
    <xf numFmtId="0" fontId="211" fillId="14" borderId="309" xfId="1" applyNumberFormat="1" applyFont="1" applyFill="1" applyBorder="1" applyAlignment="1">
      <alignment horizontal="left" vertical="center"/>
    </xf>
    <xf numFmtId="0" fontId="26" fillId="14" borderId="4" xfId="1" applyNumberFormat="1" applyFont="1" applyFill="1" applyBorder="1" applyAlignment="1">
      <alignment horizontal="left" vertical="center"/>
    </xf>
    <xf numFmtId="0" fontId="181" fillId="109" borderId="0" xfId="1" applyNumberFormat="1" applyFont="1" applyFill="1" applyBorder="1" applyAlignment="1">
      <alignment horizontal="left" vertical="center"/>
    </xf>
    <xf numFmtId="0" fontId="246" fillId="109" borderId="0" xfId="1" applyNumberFormat="1" applyFont="1" applyFill="1" applyBorder="1" applyAlignment="1">
      <alignment horizontal="left" vertical="center"/>
    </xf>
    <xf numFmtId="0" fontId="179" fillId="2" borderId="6" xfId="0" applyFont="1" applyFill="1" applyBorder="1" applyAlignment="1">
      <alignment horizontal="left" vertical="center"/>
    </xf>
    <xf numFmtId="0" fontId="239" fillId="23" borderId="6" xfId="1" applyFont="1" applyFill="1" applyBorder="1" applyAlignment="1" applyProtection="1">
      <alignment horizontal="center" vertical="center"/>
      <protection hidden="1"/>
    </xf>
    <xf numFmtId="0" fontId="239" fillId="23" borderId="0" xfId="1" applyFont="1" applyFill="1" applyBorder="1" applyAlignment="1" applyProtection="1">
      <alignment horizontal="center" vertical="center"/>
      <protection hidden="1"/>
    </xf>
    <xf numFmtId="0" fontId="62" fillId="4" borderId="5" xfId="1" applyFont="1" applyFill="1" applyBorder="1" applyAlignment="1">
      <alignment horizontal="center" vertical="center"/>
    </xf>
    <xf numFmtId="166" fontId="41" fillId="70" borderId="290" xfId="3" applyNumberFormat="1" applyFont="1" applyFill="1" applyBorder="1" applyAlignment="1">
      <alignment horizontal="center" vertical="center"/>
    </xf>
    <xf numFmtId="0" fontId="0" fillId="4" borderId="145" xfId="0" applyFill="1" applyBorder="1" applyAlignment="1">
      <alignment horizontal="center" vertical="center"/>
    </xf>
    <xf numFmtId="0" fontId="70" fillId="30" borderId="0" xfId="0" applyFont="1" applyFill="1" applyBorder="1" applyAlignment="1">
      <alignment horizontal="center" vertical="center"/>
    </xf>
    <xf numFmtId="0" fontId="235" fillId="37" borderId="0" xfId="0" applyFont="1" applyFill="1" applyBorder="1" applyAlignment="1">
      <alignment horizontal="center" vertical="center"/>
    </xf>
    <xf numFmtId="0" fontId="0" fillId="4" borderId="208" xfId="0" applyFill="1" applyBorder="1" applyAlignment="1">
      <alignment horizontal="center" vertical="center"/>
    </xf>
    <xf numFmtId="0" fontId="82" fillId="4" borderId="145" xfId="1" applyFont="1" applyFill="1" applyBorder="1" applyAlignment="1" applyProtection="1">
      <alignment horizontal="center" vertical="center"/>
      <protection hidden="1"/>
    </xf>
    <xf numFmtId="0" fontId="66" fillId="2" borderId="0" xfId="0" applyFont="1" applyFill="1" applyBorder="1" applyAlignment="1">
      <alignment horizontal="left" vertical="center"/>
    </xf>
    <xf numFmtId="0" fontId="459" fillId="4" borderId="0" xfId="0" applyFont="1" applyFill="1" applyAlignment="1">
      <alignment vertical="center"/>
    </xf>
    <xf numFmtId="0" fontId="460" fillId="0" borderId="0" xfId="18" applyFont="1"/>
    <xf numFmtId="0" fontId="0" fillId="7" borderId="0" xfId="0" applyFill="1"/>
    <xf numFmtId="168" fontId="54" fillId="23" borderId="143" xfId="1" applyNumberFormat="1" applyFont="1" applyFill="1" applyBorder="1" applyAlignment="1" applyProtection="1">
      <alignment horizontal="center" vertical="center"/>
      <protection hidden="1"/>
    </xf>
    <xf numFmtId="166" fontId="63" fillId="4" borderId="221" xfId="3" applyNumberFormat="1" applyFont="1" applyFill="1" applyBorder="1" applyAlignment="1">
      <alignment horizontal="center" vertical="center"/>
    </xf>
    <xf numFmtId="166" fontId="63" fillId="4" borderId="222" xfId="3" applyNumberFormat="1" applyFont="1" applyFill="1" applyBorder="1" applyAlignment="1">
      <alignment horizontal="center" vertical="center"/>
    </xf>
    <xf numFmtId="0" fontId="34" fillId="19" borderId="307" xfId="2" applyFont="1" applyFill="1" applyBorder="1" applyAlignment="1" applyProtection="1">
      <alignment horizontal="center" vertical="center"/>
      <protection locked="0"/>
    </xf>
    <xf numFmtId="0" fontId="211" fillId="14" borderId="312" xfId="1" applyNumberFormat="1" applyFont="1" applyFill="1" applyBorder="1" applyAlignment="1">
      <alignment horizontal="center"/>
    </xf>
    <xf numFmtId="1" fontId="21" fillId="11" borderId="144" xfId="3" applyNumberFormat="1" applyFont="1" applyFill="1" applyBorder="1" applyAlignment="1">
      <alignment horizontal="center" vertical="center"/>
    </xf>
    <xf numFmtId="192" fontId="372" fillId="75" borderId="0" xfId="1" applyNumberFormat="1" applyFont="1" applyFill="1" applyBorder="1" applyAlignment="1">
      <alignment horizontal="center" vertical="center"/>
    </xf>
    <xf numFmtId="0" fontId="211" fillId="14" borderId="309" xfId="1" applyNumberFormat="1" applyFont="1" applyFill="1" applyBorder="1" applyAlignment="1">
      <alignment horizontal="center"/>
    </xf>
    <xf numFmtId="0" fontId="211" fillId="14" borderId="313" xfId="1" applyNumberFormat="1" applyFont="1" applyFill="1" applyBorder="1" applyAlignment="1">
      <alignment horizontal="center"/>
    </xf>
    <xf numFmtId="0" fontId="385" fillId="109" borderId="6" xfId="1" applyNumberFormat="1" applyFont="1" applyFill="1" applyBorder="1" applyAlignment="1">
      <alignment horizontal="left" vertical="center"/>
    </xf>
    <xf numFmtId="166" fontId="24" fillId="26" borderId="206" xfId="3" applyNumberFormat="1" applyFont="1" applyFill="1" applyBorder="1" applyAlignment="1">
      <alignment horizontal="center" vertical="center"/>
    </xf>
    <xf numFmtId="2" fontId="381" fillId="70" borderId="143" xfId="3" applyNumberFormat="1" applyFont="1" applyFill="1" applyBorder="1" applyAlignment="1">
      <alignment vertical="center"/>
    </xf>
    <xf numFmtId="0" fontId="279" fillId="93" borderId="0" xfId="0" applyFont="1" applyFill="1" applyBorder="1" applyAlignment="1">
      <alignment horizontal="right" vertical="center"/>
    </xf>
    <xf numFmtId="166" fontId="32" fillId="110" borderId="5" xfId="1" applyNumberFormat="1" applyFont="1" applyFill="1" applyBorder="1" applyAlignment="1">
      <alignment horizontal="center" vertical="center"/>
    </xf>
    <xf numFmtId="164" fontId="21" fillId="111" borderId="0" xfId="3" applyNumberFormat="1" applyFont="1" applyFill="1" applyBorder="1" applyAlignment="1">
      <alignment horizontal="center" vertical="center"/>
    </xf>
    <xf numFmtId="166" fontId="21" fillId="112" borderId="5" xfId="3" applyNumberFormat="1" applyFont="1" applyFill="1" applyBorder="1" applyAlignment="1">
      <alignment horizontal="center" vertical="center"/>
    </xf>
    <xf numFmtId="165" fontId="17" fillId="5" borderId="6" xfId="1" applyNumberFormat="1" applyFont="1" applyFill="1" applyBorder="1" applyAlignment="1">
      <alignment horizontal="center" vertical="center"/>
    </xf>
    <xf numFmtId="169" fontId="172" fillId="4" borderId="220" xfId="2" applyNumberFormat="1" applyFont="1" applyFill="1" applyBorder="1" applyAlignment="1">
      <alignment horizontal="right" vertical="center"/>
    </xf>
    <xf numFmtId="0" fontId="0" fillId="0" borderId="0" xfId="0" applyAlignment="1">
      <alignment horizontal="left" vertical="center"/>
    </xf>
    <xf numFmtId="0" fontId="160" fillId="0" borderId="0" xfId="0" applyFont="1"/>
    <xf numFmtId="0" fontId="160" fillId="4" borderId="0" xfId="0" applyFont="1" applyFill="1" applyAlignment="1">
      <alignment horizontal="left" vertical="center"/>
    </xf>
    <xf numFmtId="0" fontId="160" fillId="4" borderId="0" xfId="0" applyFont="1" applyFill="1" applyAlignment="1">
      <alignment horizontal="left"/>
    </xf>
    <xf numFmtId="0" fontId="174" fillId="4" borderId="0" xfId="8" applyFont="1" applyFill="1" applyAlignment="1">
      <alignment horizontal="left" vertical="center"/>
    </xf>
    <xf numFmtId="0" fontId="160" fillId="4" borderId="0" xfId="0" applyFont="1" applyFill="1" applyAlignment="1">
      <alignment horizontal="left" vertical="center"/>
    </xf>
    <xf numFmtId="0" fontId="0" fillId="51" borderId="314" xfId="0" applyFill="1" applyBorder="1"/>
    <xf numFmtId="49" fontId="29" fillId="4" borderId="190" xfId="0" applyNumberFormat="1" applyFont="1" applyFill="1" applyBorder="1" applyAlignment="1">
      <alignment horizontal="left" vertical="center"/>
    </xf>
    <xf numFmtId="0" fontId="0" fillId="51" borderId="315" xfId="0" applyFill="1" applyBorder="1"/>
    <xf numFmtId="0" fontId="13" fillId="51" borderId="0" xfId="15" applyFont="1" applyFill="1" applyBorder="1" applyAlignment="1">
      <alignment horizontal="right" vertical="top"/>
    </xf>
    <xf numFmtId="0" fontId="13" fillId="51" borderId="0" xfId="15" applyFont="1" applyFill="1" applyBorder="1" applyAlignment="1">
      <alignment vertical="top"/>
    </xf>
    <xf numFmtId="0" fontId="102" fillId="23" borderId="151" xfId="1" applyFont="1" applyFill="1" applyBorder="1" applyAlignment="1">
      <alignment horizontal="center" vertical="center"/>
    </xf>
    <xf numFmtId="0" fontId="77" fillId="4" borderId="6" xfId="0" applyFont="1" applyFill="1" applyBorder="1" applyAlignment="1" applyProtection="1">
      <alignment horizontal="left" vertical="center"/>
      <protection locked="0"/>
    </xf>
    <xf numFmtId="0" fontId="77" fillId="4" borderId="0" xfId="0" applyFont="1" applyFill="1" applyBorder="1" applyAlignment="1" applyProtection="1">
      <alignment horizontal="left" vertical="center"/>
      <protection locked="0"/>
    </xf>
    <xf numFmtId="0" fontId="467" fillId="4" borderId="152" xfId="1" applyFont="1" applyFill="1" applyBorder="1" applyAlignment="1" applyProtection="1">
      <alignment horizontal="right" vertical="center"/>
      <protection hidden="1"/>
    </xf>
    <xf numFmtId="0" fontId="93" fillId="4" borderId="0" xfId="0" applyFont="1" applyFill="1" applyBorder="1" applyAlignment="1" applyProtection="1">
      <alignment horizontal="left" vertical="center"/>
      <protection locked="0"/>
    </xf>
    <xf numFmtId="0" fontId="77" fillId="4" borderId="5" xfId="0" applyFont="1" applyFill="1" applyBorder="1" applyAlignment="1" applyProtection="1">
      <alignment horizontal="left" vertical="center"/>
      <protection locked="0"/>
    </xf>
    <xf numFmtId="0" fontId="468" fillId="4" borderId="0" xfId="1" applyFont="1" applyFill="1" applyBorder="1" applyAlignment="1">
      <alignment horizontal="center" vertical="center"/>
    </xf>
    <xf numFmtId="165" fontId="0" fillId="0" borderId="152" xfId="0" applyNumberFormat="1" applyBorder="1" applyAlignment="1">
      <alignment horizontal="center"/>
    </xf>
    <xf numFmtId="0" fontId="52" fillId="4" borderId="5" xfId="0" applyFont="1" applyFill="1" applyBorder="1" applyAlignment="1">
      <alignment horizontal="left" vertical="center"/>
    </xf>
    <xf numFmtId="0" fontId="5" fillId="4" borderId="144" xfId="0" applyFont="1" applyFill="1" applyBorder="1" applyAlignment="1">
      <alignment horizontal="centerContinuous" vertical="center"/>
    </xf>
    <xf numFmtId="0" fontId="5" fillId="4" borderId="0" xfId="0" applyFont="1" applyFill="1" applyBorder="1" applyAlignment="1">
      <alignment horizontal="centerContinuous" vertical="center"/>
    </xf>
    <xf numFmtId="0" fontId="469" fillId="4" borderId="144" xfId="1" applyFont="1" applyFill="1" applyBorder="1" applyAlignment="1">
      <alignment horizontal="center" vertical="center"/>
    </xf>
    <xf numFmtId="166" fontId="470" fillId="113" borderId="0" xfId="0" applyNumberFormat="1" applyFont="1" applyFill="1" applyBorder="1" applyAlignment="1">
      <alignment horizontal="center" vertical="center"/>
    </xf>
    <xf numFmtId="0" fontId="471" fillId="4" borderId="0" xfId="8" applyFont="1" applyFill="1" applyBorder="1" applyAlignment="1" applyProtection="1"/>
    <xf numFmtId="0" fontId="42" fillId="4" borderId="0" xfId="0" applyFont="1" applyFill="1" applyBorder="1" applyAlignment="1">
      <alignment horizontal="center" vertical="center" wrapText="1"/>
    </xf>
    <xf numFmtId="0" fontId="42" fillId="4" borderId="180" xfId="0" applyFont="1" applyFill="1" applyBorder="1" applyAlignment="1">
      <alignment horizontal="center" vertical="center" wrapText="1"/>
    </xf>
    <xf numFmtId="0" fontId="42" fillId="37" borderId="144" xfId="0" applyFont="1" applyFill="1" applyBorder="1" applyAlignment="1">
      <alignment horizontal="center" vertical="center"/>
    </xf>
    <xf numFmtId="0" fontId="52" fillId="4" borderId="0" xfId="0" applyFont="1" applyFill="1" applyBorder="1" applyAlignment="1">
      <alignment horizontal="left" vertical="center"/>
    </xf>
    <xf numFmtId="166" fontId="17" fillId="4" borderId="0" xfId="0" applyNumberFormat="1" applyFont="1" applyFill="1" applyBorder="1" applyAlignment="1">
      <alignment horizontal="center" vertical="center"/>
    </xf>
    <xf numFmtId="0" fontId="0" fillId="4" borderId="0" xfId="0" applyFill="1" applyBorder="1" applyAlignment="1">
      <alignment horizontal="center" vertical="center"/>
    </xf>
    <xf numFmtId="0" fontId="471" fillId="4" borderId="0" xfId="8" applyFont="1" applyFill="1" applyBorder="1" applyAlignment="1" applyProtection="1">
      <alignment horizontal="left" vertical="center"/>
    </xf>
    <xf numFmtId="0" fontId="468" fillId="4" borderId="144" xfId="1" applyFont="1" applyFill="1" applyBorder="1" applyAlignment="1">
      <alignment horizontal="center" vertical="center"/>
    </xf>
    <xf numFmtId="0" fontId="472" fillId="4" borderId="0" xfId="1" applyFont="1" applyFill="1" applyBorder="1" applyAlignment="1" applyProtection="1">
      <alignment horizontal="left"/>
      <protection hidden="1"/>
    </xf>
    <xf numFmtId="0" fontId="473" fillId="4" borderId="0" xfId="1" applyFont="1" applyFill="1" applyBorder="1" applyAlignment="1" applyProtection="1">
      <alignment horizontal="left"/>
      <protection hidden="1"/>
    </xf>
    <xf numFmtId="0" fontId="104" fillId="0" borderId="0" xfId="0" applyFont="1" applyAlignment="1">
      <alignment vertical="top"/>
    </xf>
    <xf numFmtId="0" fontId="468" fillId="4" borderId="317" xfId="1" applyFont="1" applyFill="1" applyBorder="1" applyAlignment="1">
      <alignment horizontal="center" vertical="center"/>
    </xf>
    <xf numFmtId="0" fontId="474" fillId="4" borderId="318" xfId="1" applyFont="1" applyFill="1" applyBorder="1" applyAlignment="1" applyProtection="1">
      <alignment horizontal="left"/>
      <protection hidden="1"/>
    </xf>
    <xf numFmtId="0" fontId="42" fillId="4" borderId="318" xfId="0" applyFont="1" applyFill="1" applyBorder="1" applyAlignment="1">
      <alignment horizontal="center" vertical="center" wrapText="1"/>
    </xf>
    <xf numFmtId="0" fontId="42" fillId="4" borderId="319" xfId="0" applyFont="1" applyFill="1" applyBorder="1" applyAlignment="1">
      <alignment horizontal="center" vertical="center" wrapText="1"/>
    </xf>
    <xf numFmtId="0" fontId="469" fillId="37" borderId="309" xfId="1" applyFont="1" applyFill="1" applyBorder="1" applyAlignment="1">
      <alignment horizontal="center" vertical="center"/>
    </xf>
    <xf numFmtId="0" fontId="42" fillId="4" borderId="313" xfId="0" applyFont="1" applyFill="1" applyBorder="1" applyAlignment="1">
      <alignment horizontal="center" vertical="center" wrapText="1"/>
    </xf>
    <xf numFmtId="0" fontId="469" fillId="4" borderId="310" xfId="1" applyFont="1" applyFill="1" applyBorder="1" applyAlignment="1">
      <alignment horizontal="center" vertical="center"/>
    </xf>
    <xf numFmtId="0" fontId="5" fillId="4" borderId="311" xfId="0" applyFont="1" applyFill="1" applyBorder="1" applyAlignment="1">
      <alignment horizontal="center" vertical="center"/>
    </xf>
    <xf numFmtId="0" fontId="42" fillId="37" borderId="6" xfId="0" applyFont="1" applyFill="1" applyBorder="1" applyAlignment="1">
      <alignment horizontal="center" vertical="center"/>
    </xf>
    <xf numFmtId="0" fontId="16" fillId="4" borderId="6" xfId="0" applyFont="1" applyFill="1" applyBorder="1" applyAlignment="1">
      <alignment horizontal="center" vertical="center"/>
    </xf>
    <xf numFmtId="0" fontId="16" fillId="4" borderId="0" xfId="0" applyFont="1" applyFill="1" applyBorder="1" applyAlignment="1">
      <alignment horizontal="center" vertical="center"/>
    </xf>
    <xf numFmtId="0" fontId="16" fillId="4" borderId="5" xfId="0" applyFont="1" applyFill="1" applyBorder="1" applyAlignment="1">
      <alignment horizontal="center" vertical="center"/>
    </xf>
    <xf numFmtId="216" fontId="3" fillId="4" borderId="6" xfId="0" applyNumberFormat="1" applyFont="1" applyFill="1" applyBorder="1" applyAlignment="1">
      <alignment horizontal="center" vertical="center"/>
    </xf>
    <xf numFmtId="217" fontId="463" fillId="4" borderId="0" xfId="0" applyNumberFormat="1" applyFont="1" applyFill="1" applyBorder="1" applyAlignment="1">
      <alignment horizontal="center" vertical="center"/>
    </xf>
    <xf numFmtId="217" fontId="3" fillId="4" borderId="0" xfId="0" applyNumberFormat="1" applyFont="1" applyFill="1" applyBorder="1" applyAlignment="1">
      <alignment horizontal="center" vertical="center"/>
    </xf>
    <xf numFmtId="217" fontId="463" fillId="4" borderId="5" xfId="0" applyNumberFormat="1" applyFont="1" applyFill="1" applyBorder="1" applyAlignment="1">
      <alignment horizontal="center" vertical="center"/>
    </xf>
    <xf numFmtId="165" fontId="468" fillId="11" borderId="6" xfId="0" applyNumberFormat="1" applyFont="1" applyFill="1" applyBorder="1" applyAlignment="1">
      <alignment horizontal="center" vertical="center"/>
    </xf>
    <xf numFmtId="165" fontId="468" fillId="11" borderId="0" xfId="0" applyNumberFormat="1" applyFont="1" applyFill="1" applyBorder="1" applyAlignment="1">
      <alignment horizontal="center" vertical="center"/>
    </xf>
    <xf numFmtId="165" fontId="468" fillId="4" borderId="0" xfId="0" applyNumberFormat="1" applyFont="1" applyFill="1" applyBorder="1" applyAlignment="1">
      <alignment horizontal="center" vertical="center"/>
    </xf>
    <xf numFmtId="165" fontId="468" fillId="11" borderId="5" xfId="0" applyNumberFormat="1" applyFont="1" applyFill="1" applyBorder="1" applyAlignment="1">
      <alignment horizontal="center" vertical="center"/>
    </xf>
    <xf numFmtId="165" fontId="468" fillId="4" borderId="310" xfId="0" applyNumberFormat="1" applyFont="1" applyFill="1" applyBorder="1" applyAlignment="1">
      <alignment horizontal="center" vertical="center"/>
    </xf>
    <xf numFmtId="0" fontId="468" fillId="4" borderId="311" xfId="1" applyFont="1" applyFill="1" applyBorder="1" applyAlignment="1">
      <alignment horizontal="center" vertical="center"/>
    </xf>
    <xf numFmtId="0" fontId="468" fillId="4" borderId="6" xfId="1" applyFont="1" applyFill="1" applyBorder="1" applyAlignment="1">
      <alignment horizontal="center" vertical="center"/>
    </xf>
    <xf numFmtId="0" fontId="474" fillId="4" borderId="0" xfId="1" applyFont="1" applyFill="1" applyBorder="1" applyAlignment="1" applyProtection="1">
      <alignment horizontal="left"/>
      <protection hidden="1"/>
    </xf>
    <xf numFmtId="0" fontId="246" fillId="4" borderId="0" xfId="1" applyFont="1" applyFill="1" applyBorder="1" applyAlignment="1">
      <alignment vertical="center"/>
    </xf>
    <xf numFmtId="0" fontId="246" fillId="4" borderId="5" xfId="1" applyFont="1" applyFill="1" applyBorder="1" applyAlignment="1">
      <alignment vertical="center"/>
    </xf>
    <xf numFmtId="0" fontId="469" fillId="37" borderId="6" xfId="1" applyFont="1" applyFill="1" applyBorder="1" applyAlignment="1">
      <alignment horizontal="center" vertical="center"/>
    </xf>
    <xf numFmtId="0" fontId="475" fillId="4" borderId="0" xfId="1" applyFont="1" applyFill="1" applyBorder="1" applyAlignment="1" applyProtection="1">
      <alignment horizontal="left"/>
      <protection hidden="1"/>
    </xf>
    <xf numFmtId="0" fontId="467" fillId="4" borderId="5" xfId="1" applyFont="1" applyFill="1" applyBorder="1" applyAlignment="1" applyProtection="1">
      <alignment horizontal="right" vertical="center"/>
      <protection hidden="1"/>
    </xf>
    <xf numFmtId="165" fontId="468" fillId="4" borderId="6" xfId="0" applyNumberFormat="1" applyFont="1" applyFill="1" applyBorder="1" applyAlignment="1">
      <alignment horizontal="center" vertical="center"/>
    </xf>
    <xf numFmtId="0" fontId="0" fillId="0" borderId="0" xfId="0" applyAlignment="1">
      <alignment horizontal="right"/>
    </xf>
    <xf numFmtId="0" fontId="471" fillId="0" borderId="0" xfId="8" applyFont="1" applyAlignment="1" applyProtection="1"/>
    <xf numFmtId="0" fontId="11" fillId="0" borderId="0" xfId="1" applyFont="1"/>
    <xf numFmtId="0" fontId="235" fillId="37" borderId="0" xfId="0" applyFont="1" applyFill="1" applyBorder="1" applyAlignment="1">
      <alignment horizontal="center" vertical="center"/>
    </xf>
    <xf numFmtId="0" fontId="82" fillId="4" borderId="145" xfId="1" applyFont="1" applyFill="1" applyBorder="1" applyAlignment="1" applyProtection="1">
      <alignment horizontal="center" vertical="center"/>
      <protection hidden="1"/>
    </xf>
    <xf numFmtId="0" fontId="52" fillId="4" borderId="0" xfId="0" applyFont="1" applyFill="1" applyBorder="1" applyAlignment="1">
      <alignment horizontal="center" vertical="center"/>
    </xf>
    <xf numFmtId="166" fontId="34" fillId="19" borderId="145" xfId="3" applyNumberFormat="1" applyFont="1" applyFill="1" applyBorder="1" applyAlignment="1">
      <alignment horizontal="center" vertical="center"/>
    </xf>
    <xf numFmtId="0" fontId="0" fillId="4" borderId="0" xfId="0" applyFill="1" applyBorder="1" applyAlignment="1">
      <alignment horizontal="left" vertical="center"/>
    </xf>
    <xf numFmtId="0" fontId="0" fillId="4" borderId="0" xfId="0" applyFill="1" applyAlignment="1">
      <alignment horizontal="left" vertical="center"/>
    </xf>
    <xf numFmtId="0" fontId="304" fillId="4" borderId="0" xfId="1" applyFont="1" applyFill="1" applyBorder="1" applyAlignment="1">
      <alignment horizontal="center" vertical="center" wrapText="1"/>
    </xf>
    <xf numFmtId="0" fontId="304" fillId="4" borderId="5" xfId="1" applyFont="1" applyFill="1" applyBorder="1" applyAlignment="1">
      <alignment horizontal="center" vertical="center" wrapText="1"/>
    </xf>
    <xf numFmtId="0" fontId="414" fillId="4" borderId="0" xfId="5" applyFont="1" applyFill="1" applyAlignment="1">
      <alignment horizontal="left" vertical="center"/>
    </xf>
    <xf numFmtId="0" fontId="174" fillId="4" borderId="0" xfId="8" applyFont="1" applyFill="1" applyAlignment="1">
      <alignment horizontal="left"/>
    </xf>
    <xf numFmtId="0" fontId="4" fillId="4" borderId="0" xfId="1" applyFill="1" applyBorder="1" applyAlignment="1">
      <alignment horizontal="center" vertical="center"/>
    </xf>
    <xf numFmtId="0" fontId="4" fillId="4" borderId="144" xfId="1" applyFill="1" applyBorder="1" applyAlignment="1">
      <alignment horizontal="center" vertical="center" wrapText="1"/>
    </xf>
    <xf numFmtId="0" fontId="4" fillId="4" borderId="0" xfId="1" applyFill="1" applyBorder="1" applyAlignment="1">
      <alignment horizontal="center" vertical="center" wrapText="1"/>
    </xf>
    <xf numFmtId="0" fontId="4" fillId="4" borderId="1" xfId="1" applyFill="1" applyBorder="1" applyAlignment="1">
      <alignment horizontal="center" vertical="center"/>
    </xf>
    <xf numFmtId="0" fontId="91" fillId="4" borderId="0" xfId="2" applyFont="1" applyFill="1" applyBorder="1" applyAlignment="1">
      <alignment horizontal="center" vertical="center"/>
    </xf>
    <xf numFmtId="0" fontId="43" fillId="42" borderId="6" xfId="2" applyFont="1" applyFill="1" applyBorder="1" applyAlignment="1">
      <alignment horizontal="center" vertical="center"/>
    </xf>
    <xf numFmtId="174" fontId="91" fillId="4" borderId="0" xfId="4" applyNumberFormat="1" applyFont="1" applyFill="1" applyBorder="1" applyAlignment="1">
      <alignment horizontal="right" vertical="center" wrapText="1"/>
    </xf>
    <xf numFmtId="174" fontId="73" fillId="4" borderId="0" xfId="4" applyNumberFormat="1" applyFont="1" applyFill="1" applyBorder="1" applyAlignment="1">
      <alignment horizontal="right" vertical="center" wrapText="1"/>
    </xf>
    <xf numFmtId="174" fontId="125" fillId="4" borderId="0" xfId="4" applyNumberFormat="1" applyFont="1" applyFill="1" applyBorder="1" applyAlignment="1">
      <alignment horizontal="right" vertical="center" wrapText="1"/>
    </xf>
    <xf numFmtId="0" fontId="43" fillId="42" borderId="144" xfId="12" applyFont="1" applyFill="1" applyBorder="1" applyAlignment="1">
      <alignment horizontal="center" vertical="center"/>
    </xf>
    <xf numFmtId="0" fontId="5" fillId="4" borderId="0" xfId="13" applyFont="1" applyFill="1" applyBorder="1" applyAlignment="1" applyProtection="1">
      <alignment horizontal="right" vertical="center"/>
    </xf>
    <xf numFmtId="0" fontId="43" fillId="45" borderId="144" xfId="12" applyFont="1" applyFill="1" applyBorder="1" applyAlignment="1">
      <alignment horizontal="center" vertical="center"/>
    </xf>
    <xf numFmtId="2" fontId="13" fillId="4" borderId="0" xfId="13" applyNumberFormat="1" applyFont="1" applyFill="1" applyBorder="1" applyAlignment="1" applyProtection="1">
      <alignment horizontal="center" vertical="center"/>
    </xf>
    <xf numFmtId="0" fontId="131" fillId="4" borderId="0" xfId="13" applyFont="1" applyFill="1" applyBorder="1" applyAlignment="1" applyProtection="1">
      <alignment horizontal="left" vertical="center"/>
    </xf>
    <xf numFmtId="180" fontId="132" fillId="4" borderId="6" xfId="13" applyNumberFormat="1" applyFont="1" applyFill="1" applyBorder="1" applyAlignment="1" applyProtection="1">
      <alignment horizontal="center" vertical="center"/>
    </xf>
    <xf numFmtId="180" fontId="132" fillId="4" borderId="0" xfId="13" applyNumberFormat="1" applyFont="1" applyFill="1" applyBorder="1" applyAlignment="1" applyProtection="1">
      <alignment horizontal="center" vertical="center"/>
    </xf>
    <xf numFmtId="181" fontId="132" fillId="4" borderId="0" xfId="13" applyNumberFormat="1" applyFont="1" applyFill="1" applyBorder="1" applyAlignment="1" applyProtection="1">
      <alignment horizontal="center" vertical="center"/>
    </xf>
    <xf numFmtId="0" fontId="258" fillId="4" borderId="0" xfId="8" applyFont="1" applyFill="1" applyBorder="1" applyAlignment="1">
      <alignment horizontal="left" vertical="center"/>
    </xf>
    <xf numFmtId="0" fontId="478" fillId="114" borderId="0" xfId="1" applyFont="1" applyFill="1" applyBorder="1" applyAlignment="1">
      <alignment vertical="center" wrapText="1"/>
    </xf>
    <xf numFmtId="0" fontId="478" fillId="114" borderId="0" xfId="1" applyFont="1" applyFill="1" applyBorder="1" applyAlignment="1">
      <alignment vertical="top" wrapText="1"/>
    </xf>
    <xf numFmtId="0" fontId="478" fillId="115" borderId="320" xfId="1" applyFont="1" applyFill="1" applyBorder="1" applyAlignment="1">
      <alignment vertical="center" wrapText="1"/>
    </xf>
    <xf numFmtId="0" fontId="478" fillId="115" borderId="320" xfId="1" applyNumberFormat="1" applyFont="1" applyFill="1" applyBorder="1" applyAlignment="1">
      <alignment vertical="center" wrapText="1"/>
    </xf>
    <xf numFmtId="0" fontId="478" fillId="22" borderId="0" xfId="1" applyFont="1" applyFill="1" applyBorder="1" applyAlignment="1">
      <alignment vertical="center" wrapText="1"/>
    </xf>
    <xf numFmtId="194" fontId="235" fillId="22" borderId="0" xfId="0" applyNumberFormat="1" applyFont="1" applyFill="1" applyBorder="1" applyAlignment="1">
      <alignment vertical="center"/>
    </xf>
    <xf numFmtId="194" fontId="235" fillId="0" borderId="0" xfId="0" applyNumberFormat="1" applyFont="1" applyBorder="1"/>
    <xf numFmtId="218" fontId="235" fillId="0" borderId="0" xfId="0" applyNumberFormat="1" applyFont="1" applyBorder="1"/>
    <xf numFmtId="218" fontId="235" fillId="22" borderId="0" xfId="0" applyNumberFormat="1" applyFont="1" applyFill="1" applyBorder="1"/>
    <xf numFmtId="0" fontId="235" fillId="4" borderId="0" xfId="0" applyFont="1" applyFill="1" applyAlignment="1">
      <alignment vertical="center"/>
    </xf>
    <xf numFmtId="0" fontId="207" fillId="0" borderId="0" xfId="3" applyFont="1" applyFill="1" applyBorder="1" applyAlignment="1" applyProtection="1">
      <alignment vertical="center"/>
      <protection locked="0"/>
    </xf>
    <xf numFmtId="0" fontId="207" fillId="0" borderId="0" xfId="3" applyFont="1" applyAlignment="1" applyProtection="1">
      <alignment vertical="center"/>
      <protection locked="0"/>
    </xf>
    <xf numFmtId="0" fontId="207" fillId="0" borderId="0" xfId="3" applyFont="1" applyAlignment="1">
      <alignment vertical="center"/>
    </xf>
    <xf numFmtId="0" fontId="82" fillId="4" borderId="0" xfId="3" applyFont="1" applyFill="1" applyAlignment="1">
      <alignment vertical="center"/>
    </xf>
    <xf numFmtId="0" fontId="415" fillId="4" borderId="0" xfId="0" applyFont="1" applyFill="1" applyBorder="1" applyAlignment="1">
      <alignment horizontal="center" vertical="center"/>
    </xf>
    <xf numFmtId="0" fontId="258" fillId="4" borderId="0" xfId="8" applyFont="1" applyFill="1" applyAlignment="1">
      <alignment vertical="center"/>
    </xf>
    <xf numFmtId="0" fontId="17" fillId="4" borderId="0" xfId="0" applyFont="1" applyFill="1" applyAlignment="1">
      <alignment vertical="center"/>
    </xf>
    <xf numFmtId="0" fontId="17" fillId="4" borderId="0" xfId="0" applyFont="1" applyFill="1"/>
    <xf numFmtId="0" fontId="485" fillId="0" borderId="0" xfId="8" applyFont="1" applyAlignment="1">
      <alignment vertical="center"/>
    </xf>
    <xf numFmtId="0" fontId="481" fillId="4" borderId="0" xfId="11" applyFont="1" applyFill="1" applyAlignment="1">
      <alignment vertical="center"/>
    </xf>
    <xf numFmtId="0" fontId="482" fillId="22" borderId="0" xfId="1" applyFont="1" applyFill="1" applyAlignment="1">
      <alignment vertical="center"/>
    </xf>
    <xf numFmtId="0" fontId="481" fillId="22" borderId="0" xfId="11" applyFont="1" applyFill="1" applyAlignment="1">
      <alignment vertical="center"/>
    </xf>
    <xf numFmtId="0" fontId="82" fillId="22" borderId="0" xfId="3" applyFont="1" applyFill="1" applyAlignment="1">
      <alignment vertical="center"/>
    </xf>
    <xf numFmtId="0" fontId="82" fillId="46" borderId="0" xfId="3" applyFont="1" applyFill="1" applyAlignment="1">
      <alignment vertical="center"/>
    </xf>
    <xf numFmtId="0" fontId="11" fillId="46" borderId="0" xfId="3" applyNumberFormat="1" applyFont="1" applyFill="1" applyBorder="1" applyAlignment="1">
      <alignment horizontal="center" vertical="center"/>
    </xf>
    <xf numFmtId="0" fontId="11" fillId="46" borderId="0" xfId="3" applyNumberFormat="1" applyFont="1" applyFill="1" applyBorder="1" applyAlignment="1">
      <alignment vertical="center" wrapText="1"/>
    </xf>
    <xf numFmtId="0" fontId="486" fillId="46" borderId="0" xfId="11" applyFont="1" applyFill="1" applyAlignment="1">
      <alignment vertical="center"/>
    </xf>
    <xf numFmtId="0" fontId="230" fillId="46" borderId="0" xfId="1" applyFont="1" applyFill="1"/>
    <xf numFmtId="0" fontId="70" fillId="4" borderId="0" xfId="3" applyNumberFormat="1" applyFont="1" applyFill="1" applyBorder="1" applyAlignment="1">
      <alignment horizontal="center" vertical="center" wrapText="1"/>
    </xf>
    <xf numFmtId="0" fontId="483" fillId="4" borderId="0" xfId="0" applyFont="1" applyFill="1" applyAlignment="1">
      <alignment vertical="center" wrapText="1"/>
    </xf>
    <xf numFmtId="1" fontId="480" fillId="118" borderId="0" xfId="1" applyNumberFormat="1" applyFont="1" applyFill="1" applyBorder="1" applyAlignment="1" applyProtection="1">
      <alignment horizontal="center" vertical="center"/>
      <protection locked="0"/>
    </xf>
    <xf numFmtId="0" fontId="415" fillId="46" borderId="0" xfId="0" applyFont="1" applyFill="1" applyBorder="1" applyAlignment="1">
      <alignment horizontal="center" vertical="center"/>
    </xf>
    <xf numFmtId="0" fontId="232" fillId="4" borderId="6" xfId="3" applyNumberFormat="1" applyFont="1" applyFill="1" applyBorder="1" applyAlignment="1">
      <alignment horizontal="center" vertical="center" wrapText="1"/>
    </xf>
    <xf numFmtId="0" fontId="232" fillId="4" borderId="0" xfId="3" applyNumberFormat="1" applyFont="1" applyFill="1" applyBorder="1" applyAlignment="1">
      <alignment horizontal="center" vertical="center" wrapText="1"/>
    </xf>
    <xf numFmtId="0" fontId="232" fillId="4" borderId="5" xfId="3" applyNumberFormat="1" applyFont="1" applyFill="1" applyBorder="1" applyAlignment="1">
      <alignment horizontal="center" vertical="center" wrapText="1"/>
    </xf>
    <xf numFmtId="0" fontId="488" fillId="4" borderId="6" xfId="3" applyFont="1" applyFill="1" applyBorder="1" applyAlignment="1">
      <alignment horizontal="center" vertical="center"/>
    </xf>
    <xf numFmtId="0" fontId="17" fillId="4" borderId="0" xfId="1" applyFont="1" applyFill="1" applyBorder="1" applyAlignment="1">
      <alignment vertical="center"/>
    </xf>
    <xf numFmtId="0" fontId="4" fillId="4" borderId="5" xfId="1" applyFill="1" applyBorder="1"/>
    <xf numFmtId="0" fontId="489" fillId="4" borderId="6" xfId="3" applyFont="1" applyFill="1" applyBorder="1" applyAlignment="1">
      <alignment horizontal="center" vertical="center"/>
    </xf>
    <xf numFmtId="0" fontId="490" fillId="4" borderId="6" xfId="1" applyFont="1" applyFill="1" applyBorder="1" applyAlignment="1">
      <alignment horizontal="center" vertical="center"/>
    </xf>
    <xf numFmtId="0" fontId="4" fillId="4" borderId="27" xfId="1" applyFill="1" applyBorder="1"/>
    <xf numFmtId="0" fontId="4" fillId="0" borderId="26" xfId="1" applyBorder="1"/>
    <xf numFmtId="0" fontId="4" fillId="4" borderId="26" xfId="1" applyFill="1" applyBorder="1"/>
    <xf numFmtId="0" fontId="4" fillId="4" borderId="25" xfId="1" applyFill="1" applyBorder="1"/>
    <xf numFmtId="0" fontId="17" fillId="4" borderId="6" xfId="1" applyFont="1" applyFill="1" applyBorder="1" applyAlignment="1">
      <alignment vertical="center" wrapText="1"/>
    </xf>
    <xf numFmtId="0" fontId="17" fillId="4" borderId="0" xfId="1" applyFont="1" applyFill="1" applyBorder="1" applyAlignment="1">
      <alignment vertical="center" wrapText="1"/>
    </xf>
    <xf numFmtId="0" fontId="17" fillId="4" borderId="5" xfId="1" applyFont="1" applyFill="1" applyBorder="1" applyAlignment="1">
      <alignment vertical="center" wrapText="1"/>
    </xf>
    <xf numFmtId="0" fontId="181" fillId="4" borderId="194" xfId="1" applyFont="1" applyFill="1" applyBorder="1" applyAlignment="1">
      <alignment vertical="center"/>
    </xf>
    <xf numFmtId="0" fontId="4" fillId="0" borderId="3" xfId="1" applyBorder="1"/>
    <xf numFmtId="0" fontId="372" fillId="4" borderId="3" xfId="1" applyFont="1" applyFill="1" applyBorder="1" applyAlignment="1">
      <alignment vertical="center"/>
    </xf>
    <xf numFmtId="0" fontId="181" fillId="4" borderId="310" xfId="1" applyFont="1" applyFill="1" applyBorder="1" applyAlignment="1">
      <alignment vertical="center"/>
    </xf>
    <xf numFmtId="0" fontId="4" fillId="0" borderId="316" xfId="1" applyBorder="1"/>
    <xf numFmtId="0" fontId="372" fillId="4" borderId="316" xfId="1" applyFont="1" applyFill="1" applyBorder="1" applyAlignment="1">
      <alignment vertical="center"/>
    </xf>
    <xf numFmtId="0" fontId="181" fillId="4" borderId="0" xfId="3" applyNumberFormat="1" applyFont="1" applyFill="1" applyBorder="1" applyAlignment="1">
      <alignment horizontal="center" vertical="center" wrapText="1"/>
    </xf>
    <xf numFmtId="0" fontId="181" fillId="4" borderId="0" xfId="3" applyNumberFormat="1" applyFont="1" applyFill="1" applyBorder="1" applyAlignment="1">
      <alignment horizontal="center" vertical="center"/>
    </xf>
    <xf numFmtId="0" fontId="44" fillId="4" borderId="6" xfId="1" applyFont="1" applyFill="1" applyBorder="1"/>
    <xf numFmtId="0" fontId="44" fillId="4" borderId="0" xfId="1" applyFont="1" applyFill="1" applyBorder="1"/>
    <xf numFmtId="219" fontId="42" fillId="4" borderId="0" xfId="1" applyNumberFormat="1" applyFont="1" applyFill="1" applyBorder="1" applyAlignment="1">
      <alignment horizontal="center" vertical="center"/>
    </xf>
    <xf numFmtId="0" fontId="26" fillId="4" borderId="0" xfId="1" applyFont="1" applyFill="1" applyBorder="1" applyAlignment="1">
      <alignment horizontal="center" vertical="center"/>
    </xf>
    <xf numFmtId="2" fontId="17" fillId="4" borderId="0" xfId="1" applyNumberFormat="1" applyFont="1" applyFill="1" applyBorder="1" applyAlignment="1">
      <alignment horizontal="center" vertical="center"/>
    </xf>
    <xf numFmtId="0" fontId="491" fillId="4" borderId="6" xfId="1" applyFont="1" applyFill="1" applyBorder="1" applyAlignment="1">
      <alignment horizontal="left" vertical="center"/>
    </xf>
    <xf numFmtId="0" fontId="479" fillId="4" borderId="0" xfId="0" applyFont="1" applyFill="1" applyBorder="1" applyAlignment="1">
      <alignment wrapText="1"/>
    </xf>
    <xf numFmtId="0" fontId="492" fillId="4" borderId="0" xfId="11" applyFont="1" applyFill="1" applyBorder="1" applyAlignment="1">
      <alignment horizontal="center" vertical="center" wrapText="1"/>
    </xf>
    <xf numFmtId="0" fontId="492" fillId="4" borderId="5" xfId="11" applyFont="1" applyFill="1" applyBorder="1" applyAlignment="1">
      <alignment horizontal="center" vertical="center" wrapText="1"/>
    </xf>
    <xf numFmtId="0" fontId="4" fillId="0" borderId="194" xfId="1" applyBorder="1" applyAlignment="1"/>
    <xf numFmtId="0" fontId="494" fillId="4" borderId="6" xfId="0" applyFont="1" applyFill="1" applyBorder="1"/>
    <xf numFmtId="0" fontId="494" fillId="4" borderId="0" xfId="0" applyFont="1" applyFill="1" applyBorder="1"/>
    <xf numFmtId="0" fontId="0" fillId="4" borderId="0" xfId="0" applyFont="1" applyFill="1" applyBorder="1" applyAlignment="1">
      <alignment horizontal="right" vertical="center"/>
    </xf>
    <xf numFmtId="220" fontId="372" fillId="46" borderId="0" xfId="1" applyNumberFormat="1" applyFont="1" applyFill="1" applyBorder="1" applyAlignment="1">
      <alignment horizontal="center" vertical="center"/>
    </xf>
    <xf numFmtId="220" fontId="372" fillId="22" borderId="0" xfId="1" applyNumberFormat="1" applyFont="1" applyFill="1" applyBorder="1" applyAlignment="1">
      <alignment horizontal="center" vertical="center"/>
    </xf>
    <xf numFmtId="201" fontId="372" fillId="46" borderId="0" xfId="1" applyNumberFormat="1" applyFont="1" applyFill="1" applyBorder="1" applyAlignment="1">
      <alignment vertical="center"/>
    </xf>
    <xf numFmtId="201" fontId="372" fillId="22" borderId="5" xfId="1" applyNumberFormat="1" applyFont="1" applyFill="1" applyBorder="1" applyAlignment="1">
      <alignment vertical="center"/>
    </xf>
    <xf numFmtId="0" fontId="78" fillId="4" borderId="6" xfId="11" applyFill="1" applyBorder="1" applyAlignment="1">
      <alignment vertical="center" wrapText="1"/>
    </xf>
    <xf numFmtId="0" fontId="78" fillId="4" borderId="0" xfId="11" applyFill="1" applyBorder="1" applyAlignment="1">
      <alignment vertical="center" wrapText="1"/>
    </xf>
    <xf numFmtId="3" fontId="497" fillId="46" borderId="6" xfId="3" applyNumberFormat="1" applyFont="1" applyFill="1" applyBorder="1" applyAlignment="1">
      <alignment horizontal="center" vertical="center"/>
    </xf>
    <xf numFmtId="0" fontId="0" fillId="22" borderId="5" xfId="0" applyFill="1" applyBorder="1"/>
    <xf numFmtId="0" fontId="501" fillId="4" borderId="26" xfId="1" applyFont="1" applyFill="1" applyBorder="1" applyAlignment="1">
      <alignment vertical="center"/>
    </xf>
    <xf numFmtId="0" fontId="501" fillId="4" borderId="25" xfId="1" applyFont="1" applyFill="1" applyBorder="1" applyAlignment="1">
      <alignment vertical="center"/>
    </xf>
    <xf numFmtId="0" fontId="12" fillId="4" borderId="186" xfId="3" applyNumberFormat="1" applyFont="1" applyFill="1" applyBorder="1" applyAlignment="1">
      <alignment vertical="center"/>
    </xf>
    <xf numFmtId="0" fontId="12" fillId="4" borderId="189" xfId="3" applyNumberFormat="1" applyFont="1" applyFill="1" applyBorder="1" applyAlignment="1">
      <alignment vertical="center"/>
    </xf>
    <xf numFmtId="0" fontId="501" fillId="4" borderId="0" xfId="1" applyFont="1" applyFill="1" applyBorder="1" applyAlignment="1">
      <alignment vertical="center"/>
    </xf>
    <xf numFmtId="0" fontId="12" fillId="4" borderId="188" xfId="3" applyNumberFormat="1" applyFont="1" applyFill="1" applyBorder="1" applyAlignment="1">
      <alignment vertical="center"/>
    </xf>
    <xf numFmtId="0" fontId="500" fillId="4" borderId="205" xfId="1" applyFont="1" applyFill="1" applyBorder="1" applyAlignment="1">
      <alignment vertical="center"/>
    </xf>
    <xf numFmtId="0" fontId="481" fillId="4" borderId="0" xfId="11" applyFont="1" applyFill="1" applyBorder="1" applyAlignment="1">
      <alignment vertical="center"/>
    </xf>
    <xf numFmtId="0" fontId="501" fillId="4" borderId="6" xfId="1" applyFont="1" applyFill="1" applyBorder="1" applyAlignment="1">
      <alignment vertical="center"/>
    </xf>
    <xf numFmtId="0" fontId="501" fillId="4" borderId="5" xfId="1" applyFont="1" applyFill="1" applyBorder="1" applyAlignment="1">
      <alignment vertical="center"/>
    </xf>
    <xf numFmtId="0" fontId="501" fillId="4" borderId="150" xfId="1" applyFont="1" applyFill="1" applyBorder="1" applyAlignment="1">
      <alignment vertical="center"/>
    </xf>
    <xf numFmtId="0" fontId="501" fillId="4" borderId="1" xfId="1" applyFont="1" applyFill="1" applyBorder="1" applyAlignment="1">
      <alignment vertical="center"/>
    </xf>
    <xf numFmtId="0" fontId="501" fillId="4" borderId="149" xfId="1" applyFont="1" applyFill="1" applyBorder="1" applyAlignment="1">
      <alignment vertical="center"/>
    </xf>
    <xf numFmtId="0" fontId="228" fillId="4" borderId="6" xfId="11" applyFont="1" applyFill="1" applyBorder="1"/>
    <xf numFmtId="0" fontId="246" fillId="4" borderId="5" xfId="3" applyNumberFormat="1" applyFont="1" applyFill="1" applyBorder="1" applyAlignment="1">
      <alignment horizontal="center" vertical="center" wrapText="1"/>
    </xf>
    <xf numFmtId="0" fontId="372" fillId="4" borderId="0" xfId="3" applyNumberFormat="1" applyFont="1" applyFill="1" applyBorder="1" applyAlignment="1">
      <alignment horizontal="center" vertical="center" wrapText="1"/>
    </xf>
    <xf numFmtId="0" fontId="246" fillId="4" borderId="0" xfId="3" applyNumberFormat="1" applyFont="1" applyFill="1" applyBorder="1" applyAlignment="1">
      <alignment horizontal="center" vertical="center" wrapText="1"/>
    </xf>
    <xf numFmtId="0" fontId="505" fillId="4" borderId="0" xfId="1" applyFont="1" applyFill="1" applyBorder="1" applyAlignment="1">
      <alignment horizontal="center" vertical="center" wrapText="1"/>
    </xf>
    <xf numFmtId="0" fontId="504" fillId="4" borderId="6" xfId="1" applyFont="1" applyFill="1" applyBorder="1" applyAlignment="1">
      <alignment horizontal="center" vertical="center"/>
    </xf>
    <xf numFmtId="0" fontId="44" fillId="4" borderId="41" xfId="1" applyFont="1" applyFill="1" applyBorder="1" applyAlignment="1">
      <alignment vertical="center"/>
    </xf>
    <xf numFmtId="0" fontId="52" fillId="4" borderId="41" xfId="0" applyFont="1" applyFill="1" applyBorder="1" applyAlignment="1">
      <alignment horizontal="center" vertical="center"/>
    </xf>
    <xf numFmtId="164" fontId="88" fillId="4" borderId="41" xfId="3" applyNumberFormat="1" applyFont="1" applyFill="1" applyBorder="1" applyAlignment="1">
      <alignment horizontal="center" vertical="center"/>
    </xf>
    <xf numFmtId="0" fontId="44" fillId="4" borderId="42" xfId="1" applyFont="1" applyFill="1" applyBorder="1" applyAlignment="1">
      <alignment vertical="center"/>
    </xf>
    <xf numFmtId="164" fontId="508" fillId="4" borderId="0" xfId="3" applyNumberFormat="1" applyFont="1" applyFill="1" applyBorder="1" applyAlignment="1">
      <alignment horizontal="left" vertical="center"/>
    </xf>
    <xf numFmtId="0" fontId="44" fillId="4" borderId="5" xfId="1" applyFont="1" applyFill="1" applyBorder="1" applyAlignment="1">
      <alignment vertical="center"/>
    </xf>
    <xf numFmtId="164" fontId="508" fillId="4" borderId="29" xfId="3" applyNumberFormat="1" applyFont="1" applyFill="1" applyBorder="1" applyAlignment="1">
      <alignment horizontal="left" vertical="center"/>
    </xf>
    <xf numFmtId="0" fontId="44" fillId="4" borderId="58" xfId="1" applyFont="1" applyFill="1" applyBorder="1" applyAlignment="1">
      <alignment vertical="center"/>
    </xf>
    <xf numFmtId="0" fontId="0" fillId="4" borderId="6" xfId="0" applyFill="1" applyBorder="1" applyAlignment="1">
      <alignment horizontal="center" vertical="center" textRotation="90"/>
    </xf>
    <xf numFmtId="0" fontId="504" fillId="4" borderId="26" xfId="1" applyFont="1" applyFill="1" applyBorder="1" applyAlignment="1">
      <alignment horizontal="center" vertical="center"/>
    </xf>
    <xf numFmtId="0" fontId="512" fillId="4" borderId="0" xfId="1" applyFont="1" applyFill="1" applyBorder="1" applyAlignment="1" applyProtection="1">
      <alignment horizontal="center"/>
      <protection hidden="1"/>
    </xf>
    <xf numFmtId="0" fontId="372" fillId="4" borderId="0" xfId="3" applyFont="1" applyFill="1" applyBorder="1" applyAlignment="1">
      <alignment horizontal="center" vertical="center" wrapText="1"/>
    </xf>
    <xf numFmtId="0" fontId="511" fillId="4" borderId="0" xfId="3" applyFont="1" applyFill="1" applyBorder="1" applyAlignment="1">
      <alignment horizontal="center" vertical="center" wrapText="1"/>
    </xf>
    <xf numFmtId="0" fontId="515" fillId="7" borderId="0" xfId="1" applyFont="1" applyFill="1" applyBorder="1" applyAlignment="1">
      <alignment horizontal="center" vertical="center"/>
    </xf>
    <xf numFmtId="0" fontId="0" fillId="4" borderId="26" xfId="0" applyFill="1" applyBorder="1"/>
    <xf numFmtId="169" fontId="513" fillId="4" borderId="26" xfId="1" applyNumberFormat="1" applyFont="1" applyFill="1" applyBorder="1" applyAlignment="1">
      <alignment horizontal="right" vertical="center"/>
    </xf>
    <xf numFmtId="0" fontId="516" fillId="4" borderId="26" xfId="1" applyFont="1" applyFill="1" applyBorder="1" applyAlignment="1">
      <alignment horizontal="center" vertical="center"/>
    </xf>
    <xf numFmtId="201" fontId="372" fillId="4" borderId="26" xfId="1" applyNumberFormat="1" applyFont="1" applyFill="1" applyBorder="1" applyAlignment="1">
      <alignment horizontal="left" vertical="center"/>
    </xf>
    <xf numFmtId="0" fontId="0" fillId="4" borderId="150" xfId="0" applyFill="1" applyBorder="1" applyAlignment="1">
      <alignment horizontal="center" vertical="center" textRotation="90"/>
    </xf>
    <xf numFmtId="0" fontId="517" fillId="4" borderId="0" xfId="1" applyFont="1" applyFill="1" applyBorder="1" applyAlignment="1">
      <alignment horizontal="center" vertical="center"/>
    </xf>
    <xf numFmtId="2" fontId="26" fillId="117" borderId="0" xfId="1" applyNumberFormat="1" applyFont="1" applyFill="1" applyBorder="1" applyAlignment="1" applyProtection="1">
      <alignment vertical="center"/>
      <protection locked="0"/>
    </xf>
    <xf numFmtId="0" fontId="26" fillId="4" borderId="0" xfId="3" applyFont="1" applyFill="1" applyBorder="1" applyAlignment="1">
      <alignment vertical="center"/>
    </xf>
    <xf numFmtId="0" fontId="44" fillId="0" borderId="0" xfId="1" applyFont="1" applyBorder="1"/>
    <xf numFmtId="201" fontId="26" fillId="4" borderId="0" xfId="1" applyNumberFormat="1" applyFont="1" applyFill="1" applyBorder="1" applyAlignment="1">
      <alignment horizontal="left" vertical="center"/>
    </xf>
    <xf numFmtId="169" fontId="275" fillId="4" borderId="0" xfId="1" applyNumberFormat="1" applyFont="1" applyFill="1" applyBorder="1" applyAlignment="1">
      <alignment horizontal="right" vertical="center"/>
    </xf>
    <xf numFmtId="222" fontId="518" fillId="8" borderId="0" xfId="1" applyNumberFormat="1" applyFont="1" applyFill="1" applyBorder="1" applyAlignment="1">
      <alignment horizontal="center" vertical="center"/>
    </xf>
    <xf numFmtId="0" fontId="519" fillId="22" borderId="0" xfId="3" applyNumberFormat="1" applyFont="1" applyFill="1" applyBorder="1" applyAlignment="1" applyProtection="1">
      <alignment horizontal="center" vertical="center"/>
    </xf>
    <xf numFmtId="0" fontId="484" fillId="22" borderId="0" xfId="1" applyFont="1" applyFill="1" applyBorder="1" applyAlignment="1">
      <alignment horizontal="center" vertical="center"/>
    </xf>
    <xf numFmtId="0" fontId="93" fillId="22" borderId="0" xfId="0" applyFont="1" applyFill="1" applyBorder="1"/>
    <xf numFmtId="164" fontId="520" fillId="22" borderId="0" xfId="1" applyNumberFormat="1" applyFont="1" applyFill="1" applyBorder="1" applyAlignment="1">
      <alignment horizontal="center" vertical="center"/>
    </xf>
    <xf numFmtId="0" fontId="521" fillId="22" borderId="0" xfId="1" applyFont="1" applyFill="1" applyBorder="1" applyAlignment="1">
      <alignment horizontal="center" vertical="center"/>
    </xf>
    <xf numFmtId="169" fontId="275" fillId="22" borderId="0" xfId="1" applyNumberFormat="1" applyFont="1" applyFill="1" applyBorder="1" applyAlignment="1">
      <alignment horizontal="center" vertical="center"/>
    </xf>
    <xf numFmtId="223" fontId="275" fillId="22" borderId="0" xfId="1" applyNumberFormat="1" applyFont="1" applyFill="1" applyBorder="1" applyAlignment="1">
      <alignment horizontal="center" vertical="center"/>
    </xf>
    <xf numFmtId="182" fontId="17" fillId="22" borderId="0" xfId="1" applyNumberFormat="1" applyFont="1" applyFill="1" applyBorder="1" applyAlignment="1">
      <alignment horizontal="left" vertical="center"/>
    </xf>
    <xf numFmtId="169" fontId="275" fillId="22" borderId="0" xfId="1" applyNumberFormat="1" applyFont="1" applyFill="1" applyBorder="1" applyAlignment="1">
      <alignment horizontal="right" vertical="center"/>
    </xf>
    <xf numFmtId="201" fontId="26" fillId="22" borderId="0" xfId="1" applyNumberFormat="1" applyFont="1" applyFill="1" applyBorder="1" applyAlignment="1">
      <alignment horizontal="left" vertical="center"/>
    </xf>
    <xf numFmtId="222" fontId="12" fillId="22" borderId="0" xfId="1" applyNumberFormat="1" applyFont="1" applyFill="1" applyBorder="1" applyAlignment="1">
      <alignment horizontal="center" vertical="center"/>
    </xf>
    <xf numFmtId="0" fontId="522" fillId="22" borderId="0" xfId="1" applyFont="1" applyFill="1" applyBorder="1" applyAlignment="1">
      <alignment horizontal="center" vertical="center"/>
    </xf>
    <xf numFmtId="169" fontId="275" fillId="22" borderId="186" xfId="1" applyNumberFormat="1" applyFont="1" applyFill="1" applyBorder="1" applyAlignment="1">
      <alignment horizontal="center" vertical="center"/>
    </xf>
    <xf numFmtId="223" fontId="275" fillId="22" borderId="186" xfId="1" applyNumberFormat="1" applyFont="1" applyFill="1" applyBorder="1" applyAlignment="1">
      <alignment horizontal="center" vertical="center"/>
    </xf>
    <xf numFmtId="169" fontId="275" fillId="22" borderId="186" xfId="1" applyNumberFormat="1" applyFont="1" applyFill="1" applyBorder="1" applyAlignment="1">
      <alignment horizontal="right" vertical="center"/>
    </xf>
    <xf numFmtId="0" fontId="522" fillId="22" borderId="186" xfId="1" applyFont="1" applyFill="1" applyBorder="1" applyAlignment="1">
      <alignment horizontal="center" vertical="center"/>
    </xf>
    <xf numFmtId="201" fontId="26" fillId="22" borderId="186" xfId="1" applyNumberFormat="1" applyFont="1" applyFill="1" applyBorder="1" applyAlignment="1">
      <alignment horizontal="left" vertical="center"/>
    </xf>
    <xf numFmtId="2" fontId="520" fillId="117" borderId="0" xfId="1" applyNumberFormat="1" applyFont="1" applyFill="1" applyBorder="1" applyAlignment="1" applyProtection="1">
      <alignment horizontal="center" vertical="center" wrapText="1"/>
      <protection locked="0"/>
    </xf>
    <xf numFmtId="0" fontId="235" fillId="4" borderId="0" xfId="1" applyFont="1" applyFill="1" applyBorder="1" applyAlignment="1">
      <alignment horizontal="center" vertical="center" wrapText="1"/>
    </xf>
    <xf numFmtId="0" fontId="235" fillId="4" borderId="208" xfId="1" applyFont="1" applyFill="1" applyBorder="1" applyAlignment="1">
      <alignment horizontal="right" vertical="center" wrapText="1"/>
    </xf>
    <xf numFmtId="164" fontId="235" fillId="4" borderId="0" xfId="1" applyNumberFormat="1" applyFont="1" applyFill="1" applyBorder="1" applyAlignment="1">
      <alignment horizontal="center" vertical="center" wrapText="1"/>
    </xf>
    <xf numFmtId="0" fontId="236" fillId="4" borderId="0" xfId="1" applyFont="1" applyFill="1" applyBorder="1" applyAlignment="1">
      <alignment horizontal="right" vertical="center"/>
    </xf>
    <xf numFmtId="164" fontId="36" fillId="4" borderId="0" xfId="1" applyNumberFormat="1" applyFont="1" applyFill="1" applyBorder="1" applyAlignment="1">
      <alignment vertical="center"/>
    </xf>
    <xf numFmtId="0" fontId="236" fillId="4" borderId="0" xfId="1" applyFont="1" applyFill="1" applyBorder="1" applyAlignment="1">
      <alignment horizontal="center" vertical="center" wrapText="1"/>
    </xf>
    <xf numFmtId="0" fontId="236" fillId="4" borderId="0" xfId="1" applyFont="1" applyFill="1" applyBorder="1" applyAlignment="1">
      <alignment horizontal="right" vertical="center" wrapText="1"/>
    </xf>
    <xf numFmtId="0" fontId="525" fillId="4" borderId="0" xfId="0" applyFont="1" applyFill="1" applyBorder="1" applyAlignment="1">
      <alignment vertical="center"/>
    </xf>
    <xf numFmtId="0" fontId="526" fillId="4" borderId="0" xfId="0" applyFont="1" applyFill="1" applyBorder="1" applyAlignment="1">
      <alignment vertical="center"/>
    </xf>
    <xf numFmtId="0" fontId="525" fillId="4" borderId="0" xfId="0" applyFont="1" applyFill="1" applyBorder="1" applyAlignment="1">
      <alignment horizontal="left" vertical="center"/>
    </xf>
    <xf numFmtId="0" fontId="284" fillId="4" borderId="0" xfId="11" applyFont="1" applyFill="1" applyBorder="1" applyAlignment="1">
      <alignment vertical="center"/>
    </xf>
    <xf numFmtId="0" fontId="528" fillId="4" borderId="6" xfId="0" applyFont="1" applyFill="1" applyBorder="1"/>
    <xf numFmtId="0" fontId="44" fillId="4" borderId="5" xfId="1" applyFont="1" applyFill="1" applyBorder="1"/>
    <xf numFmtId="0" fontId="527" fillId="4" borderId="6" xfId="0" applyFont="1" applyFill="1" applyBorder="1"/>
    <xf numFmtId="0" fontId="82" fillId="4" borderId="0" xfId="1" applyFont="1" applyFill="1" applyBorder="1"/>
    <xf numFmtId="0" fontId="82" fillId="4" borderId="5" xfId="1" applyFont="1" applyFill="1" applyBorder="1"/>
    <xf numFmtId="0" fontId="529" fillId="37" borderId="0" xfId="0" applyFont="1" applyFill="1" applyBorder="1" applyAlignment="1">
      <alignment horizontal="center"/>
    </xf>
    <xf numFmtId="0" fontId="528" fillId="4" borderId="0" xfId="0" applyFont="1" applyFill="1" applyBorder="1"/>
    <xf numFmtId="167" fontId="35" fillId="19" borderId="203" xfId="2" applyNumberFormat="1" applyFont="1" applyFill="1" applyBorder="1" applyAlignment="1">
      <alignment horizontal="center" vertical="center" wrapText="1"/>
    </xf>
    <xf numFmtId="166" fontId="34" fillId="19" borderId="203" xfId="3" applyNumberFormat="1" applyFont="1" applyFill="1" applyBorder="1" applyAlignment="1">
      <alignment horizontal="center" vertical="center"/>
    </xf>
    <xf numFmtId="167" fontId="35" fillId="20" borderId="203" xfId="2" applyNumberFormat="1" applyFont="1" applyFill="1" applyBorder="1" applyAlignment="1">
      <alignment horizontal="center" vertical="center" wrapText="1"/>
    </xf>
    <xf numFmtId="0" fontId="78" fillId="0" borderId="0" xfId="8"/>
    <xf numFmtId="0" fontId="90" fillId="4" borderId="0" xfId="1" applyFont="1" applyFill="1" applyProtection="1">
      <protection hidden="1"/>
    </xf>
    <xf numFmtId="0" fontId="45" fillId="4" borderId="308" xfId="1" applyFont="1" applyFill="1" applyBorder="1" applyAlignment="1">
      <alignment horizontal="center" vertical="center"/>
    </xf>
    <xf numFmtId="0" fontId="42" fillId="37" borderId="321" xfId="1" applyFont="1" applyFill="1" applyBorder="1" applyAlignment="1">
      <alignment horizontal="center" vertical="center"/>
    </xf>
    <xf numFmtId="0" fontId="17" fillId="4" borderId="276" xfId="1" applyFont="1" applyFill="1" applyBorder="1" applyAlignment="1">
      <alignment horizontal="center" vertical="center"/>
    </xf>
    <xf numFmtId="0" fontId="17" fillId="4" borderId="321" xfId="1" applyFont="1" applyFill="1" applyBorder="1" applyAlignment="1">
      <alignment horizontal="center" vertical="center"/>
    </xf>
    <xf numFmtId="0" fontId="42" fillId="37" borderId="276" xfId="1" applyFont="1" applyFill="1" applyBorder="1" applyAlignment="1">
      <alignment horizontal="center" vertical="center"/>
    </xf>
    <xf numFmtId="0" fontId="419" fillId="100" borderId="180" xfId="22" applyFont="1" applyFill="1" applyBorder="1" applyAlignment="1" applyProtection="1">
      <alignment horizontal="center" vertical="center"/>
      <protection locked="0"/>
    </xf>
    <xf numFmtId="1" fontId="13" fillId="0" borderId="180" xfId="22" applyNumberFormat="1" applyFont="1" applyFill="1" applyBorder="1" applyAlignment="1">
      <alignment horizontal="center" vertical="center"/>
    </xf>
    <xf numFmtId="0" fontId="13" fillId="0" borderId="180" xfId="22" applyFont="1" applyFill="1" applyBorder="1" applyAlignment="1">
      <alignment horizontal="center" vertical="center"/>
    </xf>
    <xf numFmtId="214" fontId="13" fillId="0" borderId="309" xfId="22" applyNumberFormat="1" applyFont="1" applyFill="1" applyBorder="1" applyAlignment="1" applyProtection="1">
      <alignment horizontal="center" vertical="center"/>
      <protection locked="0"/>
    </xf>
    <xf numFmtId="0" fontId="13" fillId="0" borderId="316" xfId="22" applyFont="1" applyFill="1" applyBorder="1" applyAlignment="1">
      <alignment horizontal="center" vertical="center"/>
    </xf>
    <xf numFmtId="0" fontId="47" fillId="40" borderId="313" xfId="22" applyFont="1" applyFill="1" applyBorder="1" applyAlignment="1">
      <alignment horizontal="center" vertical="center"/>
    </xf>
    <xf numFmtId="0" fontId="475" fillId="4" borderId="4" xfId="1" applyFont="1" applyFill="1" applyBorder="1" applyAlignment="1" applyProtection="1">
      <alignment horizontal="left"/>
      <protection hidden="1"/>
    </xf>
    <xf numFmtId="0" fontId="42" fillId="4" borderId="4" xfId="0" applyFont="1" applyFill="1" applyBorder="1" applyAlignment="1">
      <alignment horizontal="center" vertical="center" wrapText="1"/>
    </xf>
    <xf numFmtId="0" fontId="5" fillId="4" borderId="4" xfId="0" applyFont="1" applyFill="1" applyBorder="1" applyAlignment="1">
      <alignment horizontal="center" vertical="center"/>
    </xf>
    <xf numFmtId="0" fontId="468" fillId="4" borderId="4" xfId="1" applyFont="1" applyFill="1" applyBorder="1" applyAlignment="1">
      <alignment horizontal="center" vertical="center"/>
    </xf>
    <xf numFmtId="0" fontId="469" fillId="4" borderId="4" xfId="1" applyFont="1" applyFill="1" applyBorder="1" applyAlignment="1">
      <alignment horizontal="center" vertical="center"/>
    </xf>
    <xf numFmtId="166" fontId="476" fillId="113" borderId="3" xfId="0" applyNumberFormat="1" applyFont="1" applyFill="1" applyBorder="1" applyAlignment="1">
      <alignment horizontal="center" vertical="center"/>
    </xf>
    <xf numFmtId="9" fontId="0" fillId="4" borderId="3" xfId="0" applyNumberFormat="1" applyFill="1" applyBorder="1" applyAlignment="1">
      <alignment horizontal="center" vertical="center"/>
    </xf>
    <xf numFmtId="0" fontId="0" fillId="4" borderId="3" xfId="0" applyFill="1" applyBorder="1"/>
    <xf numFmtId="165" fontId="0" fillId="0" borderId="3" xfId="0" applyNumberFormat="1" applyBorder="1" applyAlignment="1">
      <alignment horizontal="center"/>
    </xf>
    <xf numFmtId="165" fontId="468" fillId="4" borderId="4" xfId="0" applyNumberFormat="1" applyFont="1" applyFill="1" applyBorder="1" applyAlignment="1">
      <alignment horizontal="center" vertical="center"/>
    </xf>
    <xf numFmtId="183" fontId="100" fillId="25" borderId="180" xfId="2" applyNumberFormat="1" applyFont="1" applyFill="1" applyBorder="1" applyAlignment="1" applyProtection="1">
      <alignment horizontal="center" vertical="center"/>
      <protection locked="0"/>
    </xf>
    <xf numFmtId="184" fontId="157" fillId="25" borderId="180" xfId="2" applyNumberFormat="1" applyFont="1" applyFill="1" applyBorder="1" applyAlignment="1" applyProtection="1">
      <alignment horizontal="center" vertical="center"/>
      <protection locked="0"/>
    </xf>
    <xf numFmtId="183" fontId="157" fillId="25" borderId="180" xfId="2" applyNumberFormat="1" applyFont="1" applyFill="1" applyBorder="1" applyAlignment="1" applyProtection="1">
      <alignment horizontal="center" vertical="center"/>
      <protection locked="0"/>
    </xf>
    <xf numFmtId="183" fontId="82" fillId="4" borderId="180" xfId="2" applyNumberFormat="1" applyFont="1" applyFill="1" applyBorder="1" applyAlignment="1" applyProtection="1">
      <alignment horizontal="center" vertical="center"/>
      <protection locked="0"/>
    </xf>
    <xf numFmtId="0" fontId="4" fillId="4" borderId="290" xfId="2" applyFont="1" applyFill="1" applyBorder="1" applyAlignment="1" applyProtection="1">
      <alignment horizontal="left" vertical="center"/>
      <protection locked="0"/>
    </xf>
    <xf numFmtId="184" fontId="82" fillId="4" borderId="180" xfId="2" applyNumberFormat="1" applyFont="1" applyFill="1" applyBorder="1" applyAlignment="1" applyProtection="1">
      <alignment horizontal="center" vertical="center"/>
      <protection locked="0"/>
    </xf>
    <xf numFmtId="0" fontId="4" fillId="22" borderId="203" xfId="2" applyFont="1" applyFill="1" applyBorder="1" applyAlignment="1" applyProtection="1">
      <alignment horizontal="right" vertical="center"/>
      <protection locked="0"/>
    </xf>
    <xf numFmtId="183" fontId="82" fillId="22" borderId="203" xfId="2" applyNumberFormat="1" applyFont="1" applyFill="1" applyBorder="1" applyAlignment="1" applyProtection="1">
      <alignment horizontal="center" vertical="center"/>
      <protection locked="0"/>
    </xf>
    <xf numFmtId="0" fontId="4" fillId="22" borderId="203" xfId="1" applyFill="1" applyBorder="1" applyProtection="1">
      <protection hidden="1"/>
    </xf>
    <xf numFmtId="0" fontId="82" fillId="22" borderId="203" xfId="2" applyFont="1" applyFill="1" applyBorder="1" applyAlignment="1" applyProtection="1">
      <alignment horizontal="right" vertical="center"/>
      <protection locked="0"/>
    </xf>
    <xf numFmtId="184" fontId="82" fillId="22" borderId="203" xfId="2" applyNumberFormat="1" applyFont="1" applyFill="1" applyBorder="1" applyAlignment="1" applyProtection="1">
      <alignment horizontal="center" vertical="center"/>
      <protection locked="0"/>
    </xf>
    <xf numFmtId="171" fontId="73" fillId="25" borderId="180" xfId="2" applyNumberFormat="1" applyFont="1" applyFill="1" applyBorder="1" applyAlignment="1" applyProtection="1">
      <alignment horizontal="center" vertical="center"/>
      <protection locked="0"/>
    </xf>
    <xf numFmtId="0" fontId="82" fillId="4" borderId="310" xfId="2" applyFont="1" applyFill="1" applyBorder="1" applyAlignment="1" applyProtection="1">
      <alignment horizontal="left" vertical="center"/>
      <protection locked="0"/>
    </xf>
    <xf numFmtId="184" fontId="82" fillId="4" borderId="313" xfId="2" applyNumberFormat="1" applyFont="1" applyFill="1" applyBorder="1" applyAlignment="1" applyProtection="1">
      <alignment horizontal="center" vertical="center"/>
      <protection locked="0"/>
    </xf>
    <xf numFmtId="183" fontId="82" fillId="4" borderId="313" xfId="2" applyNumberFormat="1" applyFont="1" applyFill="1" applyBorder="1" applyAlignment="1" applyProtection="1">
      <alignment horizontal="center" vertical="center"/>
      <protection locked="0"/>
    </xf>
    <xf numFmtId="184" fontId="82" fillId="4" borderId="311" xfId="2" applyNumberFormat="1" applyFont="1" applyFill="1" applyBorder="1" applyAlignment="1" applyProtection="1">
      <alignment horizontal="center" vertical="center"/>
      <protection locked="0"/>
    </xf>
    <xf numFmtId="0" fontId="51" fillId="7" borderId="325" xfId="7" applyFont="1" applyFill="1" applyBorder="1" applyAlignment="1" applyProtection="1">
      <alignment horizontal="left" vertical="center"/>
      <protection locked="0"/>
    </xf>
    <xf numFmtId="0" fontId="13" fillId="7" borderId="276" xfId="7" applyFont="1" applyFill="1" applyBorder="1" applyAlignment="1" applyProtection="1">
      <alignment horizontal="centerContinuous" vertical="center"/>
      <protection locked="0"/>
    </xf>
    <xf numFmtId="0" fontId="13" fillId="7" borderId="275" xfId="7" applyFont="1" applyFill="1" applyBorder="1" applyAlignment="1" applyProtection="1">
      <alignment horizontal="right" vertical="center"/>
      <protection locked="0"/>
    </xf>
    <xf numFmtId="166" fontId="46" fillId="2" borderId="180" xfId="0" applyNumberFormat="1" applyFont="1" applyFill="1" applyBorder="1" applyAlignment="1" applyProtection="1">
      <alignment horizontal="center" vertical="center"/>
      <protection locked="0"/>
    </xf>
    <xf numFmtId="176" fontId="46" fillId="25" borderId="180" xfId="0" applyNumberFormat="1" applyFont="1" applyFill="1" applyBorder="1" applyAlignment="1" applyProtection="1">
      <alignment horizontal="center" vertical="center"/>
      <protection locked="0"/>
    </xf>
    <xf numFmtId="166" fontId="47" fillId="25" borderId="180" xfId="0" applyNumberFormat="1" applyFont="1" applyFill="1" applyBorder="1" applyAlignment="1" applyProtection="1">
      <alignment horizontal="center" vertical="center"/>
      <protection locked="0"/>
    </xf>
    <xf numFmtId="171" fontId="47" fillId="25" borderId="180" xfId="0" applyNumberFormat="1" applyFont="1" applyFill="1" applyBorder="1" applyAlignment="1" applyProtection="1">
      <alignment horizontal="center" vertical="center"/>
      <protection locked="0"/>
    </xf>
    <xf numFmtId="176" fontId="47" fillId="25" borderId="180" xfId="0" applyNumberFormat="1" applyFont="1" applyFill="1" applyBorder="1" applyAlignment="1" applyProtection="1">
      <alignment horizontal="center" vertical="center"/>
      <protection locked="0"/>
    </xf>
    <xf numFmtId="166" fontId="26" fillId="18" borderId="180" xfId="0" applyNumberFormat="1" applyFont="1" applyFill="1" applyBorder="1" applyAlignment="1" applyProtection="1">
      <alignment horizontal="center" vertical="center"/>
      <protection locked="0"/>
    </xf>
    <xf numFmtId="168" fontId="26" fillId="18" borderId="180" xfId="0" applyNumberFormat="1" applyFont="1" applyFill="1" applyBorder="1" applyAlignment="1" applyProtection="1">
      <alignment horizontal="center" vertical="center"/>
      <protection locked="0"/>
    </xf>
    <xf numFmtId="176" fontId="26" fillId="18" borderId="180" xfId="0" applyNumberFormat="1" applyFont="1" applyFill="1" applyBorder="1" applyAlignment="1" applyProtection="1">
      <alignment horizontal="center" vertical="center"/>
      <protection locked="0"/>
    </xf>
    <xf numFmtId="0" fontId="26" fillId="18" borderId="309" xfId="0" applyFont="1" applyFill="1" applyBorder="1" applyAlignment="1" applyProtection="1">
      <alignment horizontal="right" vertical="center"/>
      <protection locked="0"/>
    </xf>
    <xf numFmtId="165" fontId="26" fillId="18" borderId="313" xfId="0" applyNumberFormat="1" applyFont="1" applyFill="1" applyBorder="1" applyAlignment="1" applyProtection="1">
      <alignment horizontal="center" vertical="center"/>
      <protection locked="0"/>
    </xf>
    <xf numFmtId="170" fontId="26" fillId="18" borderId="313" xfId="0" applyNumberFormat="1" applyFont="1" applyFill="1" applyBorder="1" applyAlignment="1" applyProtection="1">
      <alignment horizontal="center" vertical="center"/>
      <protection locked="0"/>
    </xf>
    <xf numFmtId="176" fontId="105" fillId="25" borderId="180" xfId="0" applyNumberFormat="1" applyFont="1" applyFill="1" applyBorder="1" applyAlignment="1" applyProtection="1">
      <alignment horizontal="center" vertical="center"/>
      <protection locked="0"/>
    </xf>
    <xf numFmtId="171" fontId="45" fillId="25" borderId="180" xfId="0" applyNumberFormat="1" applyFont="1" applyFill="1" applyBorder="1" applyAlignment="1" applyProtection="1">
      <alignment horizontal="center" vertical="center"/>
      <protection locked="0"/>
    </xf>
    <xf numFmtId="176" fontId="45" fillId="25" borderId="180" xfId="0" applyNumberFormat="1" applyFont="1" applyFill="1" applyBorder="1" applyAlignment="1" applyProtection="1">
      <alignment horizontal="center" vertical="center"/>
      <protection locked="0"/>
    </xf>
    <xf numFmtId="168" fontId="26" fillId="18" borderId="313" xfId="0" applyNumberFormat="1" applyFont="1" applyFill="1" applyBorder="1" applyAlignment="1" applyProtection="1">
      <alignment horizontal="center" vertical="center"/>
      <protection locked="0"/>
    </xf>
    <xf numFmtId="176" fontId="26" fillId="18" borderId="313" xfId="0" applyNumberFormat="1" applyFont="1" applyFill="1" applyBorder="1" applyAlignment="1" applyProtection="1">
      <alignment horizontal="center" vertical="center"/>
      <protection locked="0"/>
    </xf>
    <xf numFmtId="2" fontId="82" fillId="101" borderId="333" xfId="0" applyNumberFormat="1" applyFont="1" applyFill="1" applyBorder="1" applyAlignment="1" applyProtection="1">
      <alignment horizontal="center" vertical="center" wrapText="1"/>
      <protection locked="0"/>
    </xf>
    <xf numFmtId="9" fontId="223" fillId="21" borderId="334" xfId="0" applyNumberFormat="1" applyFont="1" applyFill="1" applyBorder="1" applyAlignment="1">
      <alignment horizontal="left" vertical="center"/>
    </xf>
    <xf numFmtId="164" fontId="191" fillId="18" borderId="335" xfId="4" applyNumberFormat="1" applyFont="1" applyFill="1" applyBorder="1" applyAlignment="1">
      <alignment horizontal="center" vertical="center"/>
    </xf>
    <xf numFmtId="196" fontId="17" fillId="22" borderId="336" xfId="0" applyNumberFormat="1" applyFont="1" applyFill="1" applyBorder="1" applyAlignment="1" applyProtection="1">
      <alignment horizontal="center" vertical="center"/>
      <protection locked="0"/>
    </xf>
    <xf numFmtId="0" fontId="4" fillId="4" borderId="180" xfId="1" applyFill="1" applyBorder="1" applyProtection="1">
      <protection hidden="1"/>
    </xf>
    <xf numFmtId="0" fontId="1" fillId="4" borderId="309" xfId="2" applyFill="1" applyBorder="1" applyAlignment="1">
      <alignment vertical="center"/>
    </xf>
    <xf numFmtId="0" fontId="4" fillId="4" borderId="313" xfId="1" applyFill="1" applyBorder="1" applyProtection="1">
      <protection hidden="1"/>
    </xf>
    <xf numFmtId="0" fontId="1" fillId="4" borderId="180" xfId="2" applyFill="1" applyBorder="1"/>
    <xf numFmtId="167" fontId="5" fillId="4" borderId="180" xfId="13" applyNumberFormat="1" applyFont="1" applyFill="1" applyBorder="1" applyAlignment="1" applyProtection="1">
      <alignment horizontal="center" vertical="center"/>
    </xf>
    <xf numFmtId="0" fontId="1" fillId="4" borderId="309" xfId="2" applyFill="1" applyBorder="1"/>
    <xf numFmtId="0" fontId="1" fillId="4" borderId="313" xfId="2" applyFill="1" applyBorder="1"/>
    <xf numFmtId="0" fontId="29" fillId="4" borderId="180" xfId="4" applyNumberFormat="1" applyFont="1" applyFill="1" applyBorder="1" applyAlignment="1" applyProtection="1">
      <alignment horizontal="center" vertical="center"/>
      <protection locked="0"/>
    </xf>
    <xf numFmtId="0" fontId="46" fillId="25" borderId="337" xfId="4" applyNumberFormat="1" applyFont="1" applyFill="1" applyBorder="1" applyAlignment="1">
      <alignment horizontal="center" vertical="center"/>
    </xf>
    <xf numFmtId="0" fontId="104" fillId="4" borderId="180" xfId="2" applyFont="1" applyFill="1" applyBorder="1" applyAlignment="1">
      <alignment horizontal="left" vertical="center"/>
    </xf>
    <xf numFmtId="167" fontId="47" fillId="25" borderId="337" xfId="4" applyNumberFormat="1" applyFont="1" applyFill="1" applyBorder="1" applyAlignment="1">
      <alignment horizontal="center" vertical="center"/>
    </xf>
    <xf numFmtId="167" fontId="105" fillId="25" borderId="337" xfId="4" applyNumberFormat="1" applyFont="1" applyFill="1" applyBorder="1" applyAlignment="1">
      <alignment horizontal="center" vertical="center"/>
    </xf>
    <xf numFmtId="0" fontId="13" fillId="4" borderId="327" xfId="4" applyNumberFormat="1" applyFont="1" applyFill="1" applyBorder="1" applyAlignment="1">
      <alignment horizontal="center" vertical="center"/>
    </xf>
    <xf numFmtId="0" fontId="13" fillId="4" borderId="327" xfId="2" applyNumberFormat="1" applyFont="1" applyFill="1" applyBorder="1" applyAlignment="1" applyProtection="1">
      <alignment horizontal="center" vertical="center"/>
      <protection locked="0"/>
    </xf>
    <xf numFmtId="0" fontId="4" fillId="4" borderId="309" xfId="1" applyFill="1" applyBorder="1" applyProtection="1">
      <protection hidden="1"/>
    </xf>
    <xf numFmtId="0" fontId="44" fillId="18" borderId="327" xfId="4" applyNumberFormat="1" applyFont="1" applyFill="1" applyBorder="1" applyAlignment="1">
      <alignment horizontal="center" vertical="center"/>
    </xf>
    <xf numFmtId="0" fontId="44" fillId="18" borderId="327" xfId="2" applyNumberFormat="1" applyFont="1" applyFill="1" applyBorder="1" applyAlignment="1" applyProtection="1">
      <alignment horizontal="center" vertical="center"/>
      <protection locked="0"/>
    </xf>
    <xf numFmtId="0" fontId="1" fillId="18" borderId="310" xfId="2" applyFill="1" applyBorder="1" applyAlignment="1">
      <alignment vertical="center"/>
    </xf>
    <xf numFmtId="0" fontId="1" fillId="18" borderId="311" xfId="2" applyFill="1" applyBorder="1" applyAlignment="1">
      <alignment vertical="center"/>
    </xf>
    <xf numFmtId="0" fontId="147" fillId="18" borderId="339" xfId="1" applyFont="1" applyFill="1" applyBorder="1" applyAlignment="1">
      <alignment vertical="center"/>
    </xf>
    <xf numFmtId="0" fontId="44" fillId="18" borderId="341" xfId="4" applyNumberFormat="1" applyFont="1" applyFill="1" applyBorder="1" applyAlignment="1">
      <alignment horizontal="center" vertical="center"/>
    </xf>
    <xf numFmtId="0" fontId="44" fillId="18" borderId="341" xfId="2" applyNumberFormat="1" applyFont="1" applyFill="1" applyBorder="1" applyAlignment="1" applyProtection="1">
      <alignment horizontal="center" vertical="center"/>
      <protection locked="0"/>
    </xf>
    <xf numFmtId="2" fontId="63" fillId="18" borderId="341" xfId="3" applyNumberFormat="1" applyFont="1" applyFill="1" applyBorder="1" applyAlignment="1">
      <alignment horizontal="center" vertical="center"/>
    </xf>
    <xf numFmtId="0" fontId="146" fillId="18" borderId="310" xfId="1" applyFont="1" applyFill="1" applyBorder="1" applyAlignment="1">
      <alignment horizontal="center" vertical="center"/>
    </xf>
    <xf numFmtId="0" fontId="1" fillId="18" borderId="311" xfId="2" applyFill="1" applyBorder="1"/>
    <xf numFmtId="0" fontId="156" fillId="18" borderId="339" xfId="1" applyFont="1" applyFill="1" applyBorder="1" applyAlignment="1">
      <alignment vertical="center"/>
    </xf>
    <xf numFmtId="0" fontId="530" fillId="53" borderId="342" xfId="13" applyFont="1" applyFill="1" applyBorder="1" applyAlignment="1">
      <alignment horizontal="left" vertical="center"/>
    </xf>
    <xf numFmtId="0" fontId="68" fillId="53" borderId="343" xfId="13" applyFont="1" applyFill="1" applyBorder="1" applyAlignment="1">
      <alignment horizontal="left" vertical="center"/>
    </xf>
    <xf numFmtId="0" fontId="531" fillId="53" borderId="343" xfId="13" applyFont="1" applyFill="1" applyBorder="1" applyAlignment="1">
      <alignment horizontal="left" vertical="center"/>
    </xf>
    <xf numFmtId="0" fontId="532" fillId="53" borderId="343" xfId="13" applyFont="1" applyFill="1" applyBorder="1" applyAlignment="1">
      <alignment horizontal="centerContinuous" vertical="center"/>
    </xf>
    <xf numFmtId="0" fontId="531" fillId="53" borderId="343" xfId="13" applyFont="1" applyFill="1" applyBorder="1" applyAlignment="1">
      <alignment horizontal="centerContinuous" vertical="center"/>
    </xf>
    <xf numFmtId="0" fontId="533" fillId="53" borderId="344" xfId="13" applyFont="1" applyFill="1" applyBorder="1" applyAlignment="1">
      <alignment horizontal="right" vertical="center"/>
    </xf>
    <xf numFmtId="0" fontId="4" fillId="0" borderId="0" xfId="13" applyFont="1"/>
    <xf numFmtId="0" fontId="44" fillId="0" borderId="0" xfId="13" applyFont="1" applyProtection="1"/>
    <xf numFmtId="2" fontId="537" fillId="18" borderId="355" xfId="4" applyNumberFormat="1" applyFont="1" applyFill="1" applyBorder="1" applyAlignment="1">
      <alignment horizontal="center" vertical="center"/>
    </xf>
    <xf numFmtId="170" fontId="537" fillId="18" borderId="355" xfId="4" applyNumberFormat="1" applyFont="1" applyFill="1" applyBorder="1" applyAlignment="1">
      <alignment horizontal="center" vertical="center"/>
    </xf>
    <xf numFmtId="175" fontId="537" fillId="18" borderId="355" xfId="12" applyNumberFormat="1" applyFont="1" applyFill="1" applyBorder="1" applyAlignment="1" applyProtection="1">
      <alignment horizontal="center" vertical="center"/>
      <protection locked="0"/>
    </xf>
    <xf numFmtId="0" fontId="46" fillId="25" borderId="355" xfId="4" applyNumberFormat="1" applyFont="1" applyFill="1" applyBorder="1" applyAlignment="1">
      <alignment horizontal="center" vertical="center"/>
    </xf>
    <xf numFmtId="0" fontId="530" fillId="53" borderId="53" xfId="13" applyFont="1" applyFill="1" applyBorder="1" applyAlignment="1">
      <alignment vertical="center"/>
    </xf>
    <xf numFmtId="0" fontId="530" fillId="53" borderId="9" xfId="13" applyFont="1" applyFill="1" applyBorder="1" applyAlignment="1">
      <alignment vertical="center"/>
    </xf>
    <xf numFmtId="0" fontId="301" fillId="53" borderId="8" xfId="13" applyFont="1" applyFill="1" applyBorder="1" applyAlignment="1">
      <alignment horizontal="right" vertical="center"/>
    </xf>
    <xf numFmtId="0" fontId="47" fillId="119" borderId="203" xfId="13" applyNumberFormat="1" applyFont="1" applyFill="1" applyBorder="1" applyAlignment="1" applyProtection="1">
      <alignment horizontal="center" vertical="center"/>
      <protection locked="0"/>
    </xf>
    <xf numFmtId="0" fontId="47" fillId="119" borderId="203" xfId="13" applyFont="1" applyFill="1" applyBorder="1" applyAlignment="1" applyProtection="1">
      <alignment horizontal="left" vertical="center"/>
      <protection locked="0"/>
    </xf>
    <xf numFmtId="0" fontId="538" fillId="57" borderId="31" xfId="13" applyNumberFormat="1" applyFont="1" applyFill="1" applyBorder="1" applyAlignment="1" applyProtection="1">
      <alignment horizontal="center" vertical="center"/>
      <protection locked="0"/>
    </xf>
    <xf numFmtId="1" fontId="63" fillId="119" borderId="279" xfId="13" applyNumberFormat="1" applyFont="1" applyFill="1" applyBorder="1" applyAlignment="1" applyProtection="1">
      <alignment horizontal="center" vertical="center"/>
      <protection locked="0"/>
    </xf>
    <xf numFmtId="224" fontId="13" fillId="18" borderId="203" xfId="13" applyNumberFormat="1" applyFont="1" applyFill="1" applyBorder="1" applyAlignment="1" applyProtection="1">
      <alignment horizontal="right" vertical="center"/>
      <protection locked="0"/>
    </xf>
    <xf numFmtId="225" fontId="13" fillId="18" borderId="203" xfId="0" applyNumberFormat="1" applyFont="1" applyFill="1" applyBorder="1" applyAlignment="1" applyProtection="1">
      <alignment horizontal="center" vertical="center"/>
    </xf>
    <xf numFmtId="1" fontId="4" fillId="18" borderId="366" xfId="13" applyNumberFormat="1" applyFont="1" applyFill="1" applyBorder="1" applyAlignment="1" applyProtection="1">
      <alignment horizontal="left" vertical="center"/>
      <protection locked="0"/>
    </xf>
    <xf numFmtId="224" fontId="13" fillId="18" borderId="279" xfId="13" applyNumberFormat="1" applyFont="1" applyFill="1" applyBorder="1" applyAlignment="1" applyProtection="1">
      <alignment horizontal="right" vertical="center"/>
      <protection locked="0"/>
    </xf>
    <xf numFmtId="1" fontId="4" fillId="18" borderId="367" xfId="13" applyNumberFormat="1" applyFont="1" applyFill="1" applyBorder="1" applyAlignment="1" applyProtection="1">
      <alignment horizontal="left" vertical="center"/>
      <protection locked="0"/>
    </xf>
    <xf numFmtId="1" fontId="63" fillId="119" borderId="368" xfId="13" applyNumberFormat="1" applyFont="1" applyFill="1" applyBorder="1" applyAlignment="1" applyProtection="1">
      <alignment horizontal="center" vertical="center"/>
      <protection locked="0"/>
    </xf>
    <xf numFmtId="224" fontId="13" fillId="18" borderId="369" xfId="13" applyNumberFormat="1" applyFont="1" applyFill="1" applyBorder="1" applyAlignment="1" applyProtection="1">
      <alignment horizontal="right" vertical="center"/>
      <protection locked="0"/>
    </xf>
    <xf numFmtId="225" fontId="13" fillId="18" borderId="369" xfId="0" applyNumberFormat="1" applyFont="1" applyFill="1" applyBorder="1" applyAlignment="1" applyProtection="1">
      <alignment horizontal="center" vertical="center"/>
    </xf>
    <xf numFmtId="1" fontId="4" fillId="18" borderId="370" xfId="13" applyNumberFormat="1" applyFont="1" applyFill="1" applyBorder="1" applyAlignment="1" applyProtection="1">
      <alignment horizontal="left" vertical="center"/>
      <protection locked="0"/>
    </xf>
    <xf numFmtId="224" fontId="13" fillId="18" borderId="368" xfId="13" applyNumberFormat="1" applyFont="1" applyFill="1" applyBorder="1" applyAlignment="1" applyProtection="1">
      <alignment horizontal="right" vertical="center"/>
      <protection locked="0"/>
    </xf>
    <xf numFmtId="1" fontId="4" fillId="18" borderId="371" xfId="13" applyNumberFormat="1" applyFont="1" applyFill="1" applyBorder="1" applyAlignment="1" applyProtection="1">
      <alignment horizontal="left" vertical="center"/>
      <protection locked="0"/>
    </xf>
    <xf numFmtId="167" fontId="538" fillId="57" borderId="31" xfId="13" applyNumberFormat="1" applyFont="1" applyFill="1" applyBorder="1" applyAlignment="1" applyProtection="1">
      <alignment horizontal="center" vertical="center"/>
      <protection locked="0"/>
    </xf>
    <xf numFmtId="167" fontId="63" fillId="119" borderId="279" xfId="13" applyNumberFormat="1" applyFont="1" applyFill="1" applyBorder="1" applyAlignment="1" applyProtection="1">
      <alignment horizontal="center" vertical="center"/>
      <protection locked="0"/>
    </xf>
    <xf numFmtId="226" fontId="13" fillId="18" borderId="203" xfId="0" applyNumberFormat="1" applyFont="1" applyFill="1" applyBorder="1" applyAlignment="1" applyProtection="1">
      <alignment horizontal="center" vertical="center"/>
    </xf>
    <xf numFmtId="1" fontId="4" fillId="18" borderId="64" xfId="13" applyNumberFormat="1" applyFont="1" applyFill="1" applyBorder="1" applyAlignment="1" applyProtection="1">
      <alignment horizontal="left" vertical="center"/>
      <protection locked="0"/>
    </xf>
    <xf numFmtId="0" fontId="47" fillId="119" borderId="366" xfId="13" applyFont="1" applyFill="1" applyBorder="1" applyAlignment="1" applyProtection="1">
      <alignment horizontal="left" vertical="center"/>
      <protection locked="0"/>
    </xf>
    <xf numFmtId="0" fontId="47" fillId="119" borderId="369" xfId="13" applyNumberFormat="1" applyFont="1" applyFill="1" applyBorder="1" applyAlignment="1" applyProtection="1">
      <alignment horizontal="center" vertical="center"/>
      <protection locked="0"/>
    </xf>
    <xf numFmtId="0" fontId="47" fillId="119" borderId="369" xfId="13" applyFont="1" applyFill="1" applyBorder="1" applyAlignment="1" applyProtection="1">
      <alignment horizontal="left" vertical="center"/>
      <protection locked="0"/>
    </xf>
    <xf numFmtId="167" fontId="538" fillId="57" borderId="375" xfId="13" applyNumberFormat="1" applyFont="1" applyFill="1" applyBorder="1" applyAlignment="1" applyProtection="1">
      <alignment horizontal="center" vertical="center"/>
      <protection locked="0"/>
    </xf>
    <xf numFmtId="167" fontId="63" fillId="119" borderId="368" xfId="13" applyNumberFormat="1" applyFont="1" applyFill="1" applyBorder="1" applyAlignment="1" applyProtection="1">
      <alignment horizontal="center" vertical="center"/>
      <protection locked="0"/>
    </xf>
    <xf numFmtId="226" fontId="13" fillId="18" borderId="369" xfId="0" applyNumberFormat="1" applyFont="1" applyFill="1" applyBorder="1" applyAlignment="1" applyProtection="1">
      <alignment horizontal="center" vertical="center"/>
    </xf>
    <xf numFmtId="1" fontId="4" fillId="18" borderId="376" xfId="13" applyNumberFormat="1" applyFont="1" applyFill="1" applyBorder="1" applyAlignment="1" applyProtection="1">
      <alignment horizontal="left" vertical="center"/>
      <protection locked="0"/>
    </xf>
    <xf numFmtId="224" fontId="13" fillId="47" borderId="0" xfId="13" applyNumberFormat="1" applyFont="1" applyFill="1" applyBorder="1" applyAlignment="1" applyProtection="1">
      <alignment horizontal="right" vertical="center"/>
      <protection locked="0"/>
    </xf>
    <xf numFmtId="225" fontId="13" fillId="47" borderId="0" xfId="0" applyNumberFormat="1" applyFont="1" applyFill="1" applyBorder="1" applyAlignment="1" applyProtection="1">
      <alignment horizontal="center" vertical="center"/>
    </xf>
    <xf numFmtId="1" fontId="4" fillId="47" borderId="0" xfId="13" applyNumberFormat="1" applyFont="1" applyFill="1" applyBorder="1" applyAlignment="1" applyProtection="1">
      <alignment horizontal="left" vertical="center"/>
      <protection locked="0"/>
    </xf>
    <xf numFmtId="0" fontId="174" fillId="4" borderId="0" xfId="8" applyFont="1" applyFill="1" applyAlignment="1">
      <alignment horizontal="left" vertical="center"/>
    </xf>
    <xf numFmtId="0" fontId="160" fillId="4" borderId="0" xfId="0" applyFont="1" applyFill="1" applyAlignment="1">
      <alignment horizontal="left" vertical="center"/>
    </xf>
    <xf numFmtId="0" fontId="174" fillId="0" borderId="0" xfId="8" applyFont="1" applyAlignment="1">
      <alignment horizontal="left" vertical="center"/>
    </xf>
    <xf numFmtId="0" fontId="458" fillId="78" borderId="144" xfId="0" applyFont="1" applyFill="1" applyBorder="1" applyAlignment="1">
      <alignment horizontal="center" vertical="center" wrapText="1"/>
    </xf>
    <xf numFmtId="0" fontId="458" fillId="78" borderId="0" xfId="0" applyFont="1" applyFill="1" applyBorder="1" applyAlignment="1">
      <alignment horizontal="center" vertical="center" wrapText="1"/>
    </xf>
    <xf numFmtId="0" fontId="459" fillId="4" borderId="0" xfId="0" applyFont="1" applyFill="1" applyAlignment="1">
      <alignment horizontal="center" vertical="center"/>
    </xf>
    <xf numFmtId="0" fontId="459" fillId="4" borderId="0" xfId="0" applyFont="1" applyFill="1" applyAlignment="1">
      <alignment horizontal="center" vertical="center" wrapText="1"/>
    </xf>
    <xf numFmtId="0" fontId="437" fillId="4" borderId="0" xfId="0" applyFont="1" applyFill="1" applyAlignment="1">
      <alignment horizontal="center" vertical="center" wrapText="1"/>
    </xf>
    <xf numFmtId="0" fontId="232" fillId="30" borderId="1" xfId="0" applyFont="1" applyFill="1" applyBorder="1" applyAlignment="1">
      <alignment horizontal="center" vertical="center"/>
    </xf>
    <xf numFmtId="0" fontId="52" fillId="37" borderId="53" xfId="0" applyFont="1" applyFill="1" applyBorder="1" applyAlignment="1">
      <alignment horizontal="center" vertical="center" wrapText="1"/>
    </xf>
    <xf numFmtId="0" fontId="52" fillId="37" borderId="9" xfId="0" applyFont="1" applyFill="1" applyBorder="1" applyAlignment="1">
      <alignment horizontal="center" vertical="center" wrapText="1"/>
    </xf>
    <xf numFmtId="0" fontId="52" fillId="37" borderId="8" xfId="0" applyFont="1" applyFill="1" applyBorder="1" applyAlignment="1">
      <alignment horizontal="center" vertical="center" wrapText="1"/>
    </xf>
    <xf numFmtId="0" fontId="52" fillId="37" borderId="6" xfId="0" applyFont="1" applyFill="1" applyBorder="1" applyAlignment="1">
      <alignment horizontal="center" vertical="center" wrapText="1"/>
    </xf>
    <xf numFmtId="0" fontId="52" fillId="37" borderId="0" xfId="0" applyFont="1" applyFill="1" applyBorder="1" applyAlignment="1">
      <alignment horizontal="center" vertical="center" wrapText="1"/>
    </xf>
    <xf numFmtId="0" fontId="52" fillId="37" borderId="5" xfId="0" applyFont="1" applyFill="1" applyBorder="1" applyAlignment="1">
      <alignment horizontal="center" vertical="center" wrapText="1"/>
    </xf>
    <xf numFmtId="0" fontId="160" fillId="37" borderId="6" xfId="0" applyFont="1" applyFill="1" applyBorder="1" applyAlignment="1">
      <alignment horizontal="center" vertical="center"/>
    </xf>
    <xf numFmtId="0" fontId="160" fillId="37" borderId="0" xfId="0" applyFont="1" applyFill="1" applyBorder="1" applyAlignment="1">
      <alignment horizontal="center" vertical="center"/>
    </xf>
    <xf numFmtId="0" fontId="160" fillId="37" borderId="5" xfId="0" applyFont="1" applyFill="1" applyBorder="1" applyAlignment="1">
      <alignment horizontal="center" vertical="center"/>
    </xf>
    <xf numFmtId="0" fontId="235" fillId="37" borderId="6" xfId="0" applyFont="1" applyFill="1" applyBorder="1" applyAlignment="1">
      <alignment horizontal="center" vertical="center"/>
    </xf>
    <xf numFmtId="0" fontId="235" fillId="37" borderId="0" xfId="0" applyFont="1" applyFill="1" applyBorder="1" applyAlignment="1">
      <alignment horizontal="center" vertical="center"/>
    </xf>
    <xf numFmtId="0" fontId="235" fillId="37" borderId="5" xfId="0" applyFont="1" applyFill="1" applyBorder="1" applyAlignment="1">
      <alignment horizontal="center" vertical="center"/>
    </xf>
    <xf numFmtId="0" fontId="231" fillId="23" borderId="5" xfId="1" applyFont="1" applyFill="1" applyBorder="1" applyAlignment="1" applyProtection="1">
      <alignment horizontal="center" vertical="center"/>
      <protection hidden="1"/>
    </xf>
    <xf numFmtId="0" fontId="175" fillId="2" borderId="3" xfId="0" applyFont="1" applyFill="1" applyBorder="1" applyAlignment="1">
      <alignment horizontal="left" vertical="center" wrapText="1"/>
    </xf>
    <xf numFmtId="0" fontId="86" fillId="4" borderId="6" xfId="2" applyFont="1" applyFill="1" applyBorder="1" applyAlignment="1">
      <alignment horizontal="center" vertical="center" wrapText="1"/>
    </xf>
    <xf numFmtId="0" fontId="86" fillId="4" borderId="0" xfId="2" applyFont="1" applyFill="1" applyBorder="1" applyAlignment="1">
      <alignment horizontal="center" vertical="center" wrapText="1"/>
    </xf>
    <xf numFmtId="0" fontId="86" fillId="4" borderId="5" xfId="2" applyFont="1" applyFill="1" applyBorder="1" applyAlignment="1">
      <alignment horizontal="center" vertical="center" wrapText="1"/>
    </xf>
    <xf numFmtId="0" fontId="220" fillId="11" borderId="0" xfId="1" applyFont="1" applyFill="1" applyBorder="1" applyAlignment="1" applyProtection="1">
      <alignment horizontal="center" vertical="center" wrapText="1"/>
      <protection hidden="1"/>
    </xf>
    <xf numFmtId="0" fontId="179" fillId="2" borderId="6" xfId="0" applyFont="1" applyFill="1" applyBorder="1" applyAlignment="1">
      <alignment horizontal="left" vertical="center"/>
    </xf>
    <xf numFmtId="0" fontId="179" fillId="2" borderId="0" xfId="0" applyFont="1" applyFill="1" applyBorder="1" applyAlignment="1">
      <alignment horizontal="left" vertical="center" wrapText="1"/>
    </xf>
    <xf numFmtId="0" fontId="64" fillId="2" borderId="5" xfId="0" applyFont="1" applyFill="1" applyBorder="1" applyAlignment="1">
      <alignment horizontal="center" vertical="center" wrapText="1"/>
    </xf>
    <xf numFmtId="0" fontId="179" fillId="2" borderId="6" xfId="0" applyFont="1" applyFill="1" applyBorder="1" applyAlignment="1">
      <alignment horizontal="left" vertical="center" wrapText="1"/>
    </xf>
    <xf numFmtId="0" fontId="179" fillId="2" borderId="5" xfId="0" applyFont="1" applyFill="1" applyBorder="1" applyAlignment="1">
      <alignment horizontal="left" vertical="center" wrapText="1"/>
    </xf>
    <xf numFmtId="0" fontId="239" fillId="23" borderId="6" xfId="1" applyFont="1" applyFill="1" applyBorder="1" applyAlignment="1" applyProtection="1">
      <alignment horizontal="center" vertical="center"/>
      <protection hidden="1"/>
    </xf>
    <xf numFmtId="0" fontId="239" fillId="23" borderId="0" xfId="1" applyFont="1" applyFill="1" applyBorder="1" applyAlignment="1" applyProtection="1">
      <alignment horizontal="center" vertical="center"/>
      <protection hidden="1"/>
    </xf>
    <xf numFmtId="166" fontId="41" fillId="70" borderId="205" xfId="3" applyNumberFormat="1" applyFont="1" applyFill="1" applyBorder="1" applyAlignment="1">
      <alignment horizontal="center" vertical="center"/>
    </xf>
    <xf numFmtId="166" fontId="41" fillId="70" borderId="290" xfId="3" applyNumberFormat="1" applyFont="1" applyFill="1" applyBorder="1" applyAlignment="1">
      <alignment horizontal="center" vertical="center"/>
    </xf>
    <xf numFmtId="0" fontId="0" fillId="4" borderId="208" xfId="0" applyFill="1" applyBorder="1" applyAlignment="1">
      <alignment horizontal="center" vertical="center"/>
    </xf>
    <xf numFmtId="0" fontId="0" fillId="4" borderId="145" xfId="0" applyFill="1" applyBorder="1" applyAlignment="1">
      <alignment horizontal="center" vertical="center"/>
    </xf>
    <xf numFmtId="0" fontId="26" fillId="4" borderId="208" xfId="0" applyFont="1" applyFill="1" applyBorder="1" applyAlignment="1">
      <alignment horizontal="right" vertical="center"/>
    </xf>
    <xf numFmtId="0" fontId="26" fillId="4" borderId="145" xfId="0" applyFont="1" applyFill="1" applyBorder="1" applyAlignment="1">
      <alignment horizontal="right" vertical="center"/>
    </xf>
    <xf numFmtId="169" fontId="26" fillId="22" borderId="206" xfId="3" applyNumberFormat="1" applyFont="1" applyFill="1" applyBorder="1" applyAlignment="1">
      <alignment horizontal="center" vertical="center"/>
    </xf>
    <xf numFmtId="169" fontId="26" fillId="22" borderId="143" xfId="3" applyNumberFormat="1" applyFont="1" applyFill="1" applyBorder="1" applyAlignment="1">
      <alignment horizontal="center" vertical="center"/>
    </xf>
    <xf numFmtId="0" fontId="338" fillId="37" borderId="6" xfId="1" applyFont="1" applyFill="1" applyBorder="1" applyAlignment="1">
      <alignment horizontal="left" vertical="center" wrapText="1"/>
    </xf>
    <xf numFmtId="0" fontId="338" fillId="37" borderId="0" xfId="1" applyFont="1" applyFill="1" applyBorder="1" applyAlignment="1">
      <alignment horizontal="left" vertical="center" wrapText="1"/>
    </xf>
    <xf numFmtId="0" fontId="343" fillId="37" borderId="5" xfId="1" applyFont="1" applyFill="1" applyBorder="1" applyAlignment="1">
      <alignment horizontal="center" vertical="center" wrapText="1"/>
    </xf>
    <xf numFmtId="0" fontId="232" fillId="77" borderId="5" xfId="0" applyFont="1" applyFill="1" applyBorder="1" applyAlignment="1">
      <alignment horizontal="center" vertical="center"/>
    </xf>
    <xf numFmtId="0" fontId="344" fillId="4" borderId="6" xfId="0" applyFont="1" applyFill="1" applyBorder="1" applyAlignment="1">
      <alignment horizontal="center" vertical="center" wrapText="1"/>
    </xf>
    <xf numFmtId="0" fontId="344" fillId="4" borderId="0" xfId="0" applyFont="1" applyFill="1" applyBorder="1" applyAlignment="1">
      <alignment horizontal="center" vertical="center" wrapText="1"/>
    </xf>
    <xf numFmtId="0" fontId="384" fillId="4" borderId="6" xfId="0" applyFont="1" applyFill="1" applyBorder="1" applyAlignment="1">
      <alignment horizontal="center" vertical="center" wrapText="1"/>
    </xf>
    <xf numFmtId="0" fontId="384" fillId="4" borderId="0" xfId="0" applyFont="1" applyFill="1" applyBorder="1" applyAlignment="1">
      <alignment horizontal="center" vertical="center" wrapText="1"/>
    </xf>
    <xf numFmtId="0" fontId="384" fillId="4" borderId="290" xfId="0" applyFont="1" applyFill="1" applyBorder="1" applyAlignment="1">
      <alignment horizontal="center" vertical="center" wrapText="1"/>
    </xf>
    <xf numFmtId="0" fontId="384" fillId="4" borderId="145" xfId="0" applyFont="1" applyFill="1" applyBorder="1" applyAlignment="1">
      <alignment horizontal="center" vertical="center" wrapText="1"/>
    </xf>
    <xf numFmtId="0" fontId="62" fillId="4" borderId="5" xfId="1" applyFont="1" applyFill="1" applyBorder="1" applyAlignment="1">
      <alignment horizontal="center" vertical="center"/>
    </xf>
    <xf numFmtId="0" fontId="62" fillId="4" borderId="143" xfId="1" applyFont="1" applyFill="1" applyBorder="1" applyAlignment="1">
      <alignment horizontal="center" vertical="center"/>
    </xf>
    <xf numFmtId="0" fontId="11" fillId="0" borderId="6" xfId="0" applyFont="1" applyBorder="1" applyAlignment="1">
      <alignment horizontal="right"/>
    </xf>
    <xf numFmtId="0" fontId="11" fillId="0" borderId="0" xfId="0" applyFont="1" applyBorder="1" applyAlignment="1">
      <alignment horizontal="right"/>
    </xf>
    <xf numFmtId="49" fontId="43" fillId="23" borderId="53" xfId="1" applyNumberFormat="1" applyFont="1" applyFill="1" applyBorder="1" applyAlignment="1">
      <alignment horizontal="center" vertical="center"/>
    </xf>
    <xf numFmtId="49" fontId="43" fillId="23" borderId="9" xfId="1" applyNumberFormat="1" applyFont="1" applyFill="1" applyBorder="1" applyAlignment="1">
      <alignment horizontal="center" vertical="center"/>
    </xf>
    <xf numFmtId="49" fontId="43" fillId="23" borderId="8" xfId="1" applyNumberFormat="1" applyFont="1" applyFill="1" applyBorder="1" applyAlignment="1">
      <alignment horizontal="center" vertical="center"/>
    </xf>
    <xf numFmtId="0" fontId="82" fillId="4" borderId="290" xfId="1" applyFont="1" applyFill="1" applyBorder="1" applyAlignment="1" applyProtection="1">
      <alignment horizontal="center" vertical="center"/>
      <protection hidden="1"/>
    </xf>
    <xf numFmtId="0" fontId="82" fillId="4" borderId="145" xfId="1" applyFont="1" applyFill="1" applyBorder="1" applyAlignment="1" applyProtection="1">
      <alignment horizontal="center" vertical="center"/>
      <protection hidden="1"/>
    </xf>
    <xf numFmtId="0" fontId="5" fillId="4" borderId="145" xfId="1" applyFont="1" applyFill="1" applyBorder="1" applyAlignment="1" applyProtection="1">
      <alignment horizontal="center" vertical="center"/>
      <protection hidden="1"/>
    </xf>
    <xf numFmtId="0" fontId="5" fillId="4" borderId="143" xfId="1" applyFont="1" applyFill="1" applyBorder="1" applyAlignment="1" applyProtection="1">
      <alignment horizontal="center" vertical="center"/>
      <protection hidden="1"/>
    </xf>
    <xf numFmtId="0" fontId="52" fillId="4" borderId="6" xfId="0" applyFont="1" applyFill="1" applyBorder="1" applyAlignment="1">
      <alignment horizontal="center" vertical="center"/>
    </xf>
    <xf numFmtId="0" fontId="52" fillId="4" borderId="0" xfId="0" applyFont="1" applyFill="1" applyBorder="1" applyAlignment="1">
      <alignment horizontal="center" vertical="center"/>
    </xf>
    <xf numFmtId="212" fontId="242" fillId="2" borderId="6" xfId="1" applyNumberFormat="1" applyFont="1" applyFill="1" applyBorder="1" applyAlignment="1" applyProtection="1">
      <alignment horizontal="center" vertical="center"/>
      <protection hidden="1"/>
    </xf>
    <xf numFmtId="212" fontId="242" fillId="2" borderId="150" xfId="1" applyNumberFormat="1" applyFont="1" applyFill="1" applyBorder="1" applyAlignment="1" applyProtection="1">
      <alignment horizontal="center" vertical="center"/>
      <protection hidden="1"/>
    </xf>
    <xf numFmtId="182" fontId="13" fillId="22" borderId="0" xfId="1" applyNumberFormat="1" applyFont="1" applyFill="1" applyBorder="1" applyAlignment="1" applyProtection="1">
      <alignment horizontal="center" vertical="center"/>
      <protection hidden="1"/>
    </xf>
    <xf numFmtId="182" fontId="13" fillId="22" borderId="1" xfId="1" applyNumberFormat="1" applyFont="1" applyFill="1" applyBorder="1" applyAlignment="1" applyProtection="1">
      <alignment horizontal="center" vertical="center"/>
      <protection hidden="1"/>
    </xf>
    <xf numFmtId="166" fontId="21" fillId="80" borderId="6" xfId="3" applyNumberFormat="1" applyFont="1" applyFill="1" applyBorder="1" applyAlignment="1">
      <alignment horizontal="center" vertical="center" wrapText="1"/>
    </xf>
    <xf numFmtId="2" fontId="42" fillId="33" borderId="0" xfId="1" applyNumberFormat="1" applyFont="1" applyFill="1" applyBorder="1" applyAlignment="1">
      <alignment horizontal="center" vertical="center" wrapText="1"/>
    </xf>
    <xf numFmtId="2" fontId="42" fillId="33" borderId="5" xfId="1" applyNumberFormat="1" applyFont="1" applyFill="1" applyBorder="1" applyAlignment="1">
      <alignment horizontal="center" vertical="center" wrapText="1"/>
    </xf>
    <xf numFmtId="197" fontId="242" fillId="2" borderId="6" xfId="1" applyNumberFormat="1" applyFont="1" applyFill="1" applyBorder="1" applyAlignment="1" applyProtection="1">
      <alignment horizontal="center" vertical="center"/>
      <protection hidden="1"/>
    </xf>
    <xf numFmtId="197" fontId="242" fillId="2" borderId="150" xfId="1" applyNumberFormat="1" applyFont="1" applyFill="1" applyBorder="1" applyAlignment="1" applyProtection="1">
      <alignment horizontal="center" vertical="center"/>
      <protection hidden="1"/>
    </xf>
    <xf numFmtId="0" fontId="12" fillId="4" borderId="6" xfId="2" applyFont="1" applyFill="1" applyBorder="1" applyAlignment="1">
      <alignment horizontal="center" vertical="center" wrapText="1"/>
    </xf>
    <xf numFmtId="0" fontId="12" fillId="4" borderId="0" xfId="2" applyFont="1" applyFill="1" applyBorder="1" applyAlignment="1">
      <alignment horizontal="center" vertical="center" wrapText="1"/>
    </xf>
    <xf numFmtId="0" fontId="12"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0"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5" fillId="6" borderId="151" xfId="1" applyFont="1" applyFill="1" applyBorder="1" applyAlignment="1">
      <alignment horizontal="center" vertical="center"/>
    </xf>
    <xf numFmtId="0" fontId="15" fillId="6" borderId="309" xfId="1" applyFont="1" applyFill="1" applyBorder="1" applyAlignment="1">
      <alignment horizontal="center" vertical="center"/>
    </xf>
    <xf numFmtId="0" fontId="176" fillId="2" borderId="9" xfId="0" applyFont="1" applyFill="1" applyBorder="1" applyAlignment="1">
      <alignment horizontal="center" vertical="center"/>
    </xf>
    <xf numFmtId="0" fontId="176" fillId="2" borderId="8" xfId="0" applyFont="1" applyFill="1" applyBorder="1" applyAlignment="1">
      <alignment horizontal="center" vertical="center"/>
    </xf>
    <xf numFmtId="0" fontId="176" fillId="2" borderId="0" xfId="0" applyFont="1" applyFill="1" applyBorder="1" applyAlignment="1">
      <alignment horizontal="center" vertical="center"/>
    </xf>
    <xf numFmtId="0" fontId="176" fillId="2" borderId="5" xfId="0" applyFont="1" applyFill="1" applyBorder="1" applyAlignment="1">
      <alignment horizontal="center" vertical="center"/>
    </xf>
    <xf numFmtId="0" fontId="17" fillId="4" borderId="208" xfId="0" applyFont="1" applyFill="1" applyBorder="1" applyAlignment="1">
      <alignment horizontal="right" vertical="center" wrapText="1"/>
    </xf>
    <xf numFmtId="0" fontId="17" fillId="4" borderId="145" xfId="0" applyFont="1" applyFill="1" applyBorder="1" applyAlignment="1">
      <alignment horizontal="right" vertical="center" wrapText="1"/>
    </xf>
    <xf numFmtId="169" fontId="26" fillId="22" borderId="209" xfId="3" applyNumberFormat="1" applyFont="1" applyFill="1" applyBorder="1" applyAlignment="1">
      <alignment horizontal="center" vertical="center"/>
    </xf>
    <xf numFmtId="169" fontId="26" fillId="22" borderId="30" xfId="3" applyNumberFormat="1" applyFont="1" applyFill="1" applyBorder="1" applyAlignment="1">
      <alignment horizontal="center" vertical="center"/>
    </xf>
    <xf numFmtId="2" fontId="57" fillId="16" borderId="0" xfId="1" applyNumberFormat="1" applyFont="1" applyFill="1" applyBorder="1" applyAlignment="1">
      <alignment horizontal="center" vertical="center" wrapText="1"/>
    </xf>
    <xf numFmtId="2" fontId="57" fillId="16" borderId="5" xfId="1" applyNumberFormat="1" applyFont="1" applyFill="1" applyBorder="1" applyAlignment="1">
      <alignment horizontal="center" vertical="center" wrapText="1"/>
    </xf>
    <xf numFmtId="166" fontId="34" fillId="19" borderId="145" xfId="3" applyNumberFormat="1" applyFont="1" applyFill="1" applyBorder="1" applyAlignment="1">
      <alignment horizontal="center" vertical="center"/>
    </xf>
    <xf numFmtId="166" fontId="34" fillId="19" borderId="143" xfId="3" applyNumberFormat="1" applyFont="1" applyFill="1" applyBorder="1" applyAlignment="1">
      <alignment horizontal="center" vertical="center"/>
    </xf>
    <xf numFmtId="0" fontId="160" fillId="46" borderId="6" xfId="0" applyFont="1" applyFill="1" applyBorder="1" applyAlignment="1">
      <alignment horizontal="center" vertical="center"/>
    </xf>
    <xf numFmtId="0" fontId="160" fillId="46" borderId="0" xfId="0" applyFont="1" applyFill="1" applyBorder="1" applyAlignment="1">
      <alignment horizontal="center" vertical="center"/>
    </xf>
    <xf numFmtId="0" fontId="20" fillId="10" borderId="0" xfId="4" applyFont="1" applyFill="1" applyBorder="1" applyAlignment="1">
      <alignment horizontal="center" vertical="center"/>
    </xf>
    <xf numFmtId="0" fontId="20" fillId="10" borderId="190" xfId="4" applyFont="1" applyFill="1" applyBorder="1" applyAlignment="1">
      <alignment horizontal="center" vertical="center"/>
    </xf>
    <xf numFmtId="0" fontId="0" fillId="13" borderId="144" xfId="0" applyFill="1" applyBorder="1" applyAlignment="1">
      <alignment horizontal="center"/>
    </xf>
    <xf numFmtId="0" fontId="64" fillId="2" borderId="0" xfId="0" applyFont="1" applyFill="1" applyBorder="1" applyAlignment="1">
      <alignment horizontal="left" vertical="center"/>
    </xf>
    <xf numFmtId="0" fontId="64" fillId="2" borderId="5" xfId="0" applyFont="1" applyFill="1" applyBorder="1" applyAlignment="1">
      <alignment horizontal="left" vertical="center"/>
    </xf>
    <xf numFmtId="2" fontId="11" fillId="16" borderId="6" xfId="1" applyNumberFormat="1" applyFont="1" applyFill="1" applyBorder="1" applyAlignment="1">
      <alignment horizontal="center" vertical="center" wrapText="1"/>
    </xf>
    <xf numFmtId="2" fontId="11" fillId="16" borderId="0" xfId="1" applyNumberFormat="1" applyFont="1" applyFill="1" applyBorder="1" applyAlignment="1">
      <alignment horizontal="center" vertical="center" wrapText="1"/>
    </xf>
    <xf numFmtId="2" fontId="11" fillId="16" borderId="5" xfId="1" applyNumberFormat="1" applyFont="1" applyFill="1" applyBorder="1" applyAlignment="1">
      <alignment horizontal="center" vertical="center" wrapText="1"/>
    </xf>
    <xf numFmtId="2" fontId="25" fillId="16" borderId="6" xfId="1" applyNumberFormat="1" applyFont="1" applyFill="1" applyBorder="1" applyAlignment="1">
      <alignment horizontal="center" vertical="center" wrapText="1"/>
    </xf>
    <xf numFmtId="2" fontId="25" fillId="16" borderId="0" xfId="1" applyNumberFormat="1" applyFont="1" applyFill="1" applyBorder="1" applyAlignment="1">
      <alignment horizontal="center" vertical="center" wrapText="1"/>
    </xf>
    <xf numFmtId="0" fontId="0" fillId="4" borderId="0" xfId="0" applyFill="1" applyBorder="1" applyAlignment="1">
      <alignment horizontal="left" vertical="center"/>
    </xf>
    <xf numFmtId="0" fontId="10" fillId="2" borderId="0" xfId="0" applyFont="1" applyFill="1" applyBorder="1" applyAlignment="1">
      <alignment horizontal="left" vertical="center"/>
    </xf>
    <xf numFmtId="0" fontId="10" fillId="2" borderId="5" xfId="0" applyFont="1" applyFill="1" applyBorder="1" applyAlignment="1">
      <alignment horizontal="left" vertical="center"/>
    </xf>
    <xf numFmtId="0" fontId="342" fillId="4" borderId="223" xfId="1" applyFont="1" applyFill="1" applyBorder="1" applyAlignment="1">
      <alignment horizontal="right" vertical="center"/>
    </xf>
    <xf numFmtId="0" fontId="342" fillId="4" borderId="224" xfId="1" applyFont="1" applyFill="1" applyBorder="1" applyAlignment="1">
      <alignment horizontal="right" vertical="center"/>
    </xf>
    <xf numFmtId="0" fontId="17" fillId="16" borderId="6" xfId="1" applyNumberFormat="1" applyFont="1" applyFill="1" applyBorder="1" applyAlignment="1">
      <alignment horizontal="center" vertical="center" wrapText="1"/>
    </xf>
    <xf numFmtId="0" fontId="17" fillId="16" borderId="0" xfId="1" applyNumberFormat="1" applyFont="1" applyFill="1" applyBorder="1" applyAlignment="1">
      <alignment horizontal="center" vertical="center" wrapText="1"/>
    </xf>
    <xf numFmtId="0" fontId="17" fillId="16" borderId="5" xfId="1" applyNumberFormat="1" applyFont="1" applyFill="1" applyBorder="1" applyAlignment="1">
      <alignment horizontal="center" vertical="center" wrapText="1"/>
    </xf>
    <xf numFmtId="1" fontId="381" fillId="70" borderId="225" xfId="3" applyNumberFormat="1" applyFont="1" applyFill="1" applyBorder="1" applyAlignment="1">
      <alignment horizontal="center" vertical="center"/>
    </xf>
    <xf numFmtId="1" fontId="381" fillId="70" borderId="228" xfId="3" applyNumberFormat="1" applyFont="1" applyFill="1" applyBorder="1" applyAlignment="1">
      <alignment horizontal="center" vertical="center"/>
    </xf>
    <xf numFmtId="166" fontId="224" fillId="70" borderId="200" xfId="3" applyNumberFormat="1" applyFont="1" applyFill="1" applyBorder="1" applyAlignment="1">
      <alignment horizontal="center" vertical="center"/>
    </xf>
    <xf numFmtId="166" fontId="224" fillId="70" borderId="147" xfId="3" applyNumberFormat="1" applyFont="1" applyFill="1" applyBorder="1" applyAlignment="1">
      <alignment horizontal="center" vertical="center"/>
    </xf>
    <xf numFmtId="0" fontId="456" fillId="78" borderId="144" xfId="0" applyFont="1" applyFill="1" applyBorder="1" applyAlignment="1">
      <alignment horizontal="center" vertical="center" wrapText="1"/>
    </xf>
    <xf numFmtId="0" fontId="456" fillId="78" borderId="0" xfId="0" applyFont="1" applyFill="1" applyBorder="1" applyAlignment="1">
      <alignment horizontal="center" vertical="center" wrapText="1"/>
    </xf>
    <xf numFmtId="0" fontId="176" fillId="2" borderId="151" xfId="0" applyFont="1" applyFill="1" applyBorder="1" applyAlignment="1">
      <alignment horizontal="center" vertical="center"/>
    </xf>
    <xf numFmtId="0" fontId="176" fillId="2" borderId="3" xfId="0" applyFont="1" applyFill="1" applyBorder="1" applyAlignment="1">
      <alignment horizontal="center" vertical="center"/>
    </xf>
    <xf numFmtId="0" fontId="176" fillId="2" borderId="183" xfId="0" applyFont="1" applyFill="1" applyBorder="1" applyAlignment="1">
      <alignment horizontal="center" vertical="center"/>
    </xf>
    <xf numFmtId="0" fontId="70" fillId="30" borderId="144" xfId="0" applyFont="1" applyFill="1" applyBorder="1" applyAlignment="1">
      <alignment horizontal="center" vertical="center"/>
    </xf>
    <xf numFmtId="0" fontId="70" fillId="30" borderId="0" xfId="0" applyFont="1" applyFill="1" applyBorder="1" applyAlignment="1">
      <alignment horizontal="center" vertical="center"/>
    </xf>
    <xf numFmtId="0" fontId="160" fillId="46" borderId="5" xfId="0" applyFont="1" applyFill="1" applyBorder="1" applyAlignment="1">
      <alignment horizontal="center" vertical="center"/>
    </xf>
    <xf numFmtId="0" fontId="51" fillId="26" borderId="151" xfId="1" applyFont="1" applyFill="1" applyBorder="1" applyAlignment="1" applyProtection="1">
      <alignment horizontal="center" vertical="center" wrapText="1"/>
      <protection hidden="1"/>
    </xf>
    <xf numFmtId="0" fontId="51" fillId="26" borderId="3" xfId="1" applyFont="1" applyFill="1" applyBorder="1" applyAlignment="1" applyProtection="1">
      <alignment horizontal="center" vertical="center" wrapText="1"/>
      <protection hidden="1"/>
    </xf>
    <xf numFmtId="0" fontId="69" fillId="26" borderId="151" xfId="1" applyFont="1" applyFill="1" applyBorder="1" applyAlignment="1" applyProtection="1">
      <alignment horizontal="center" vertical="center" wrapText="1"/>
      <protection hidden="1"/>
    </xf>
    <xf numFmtId="0" fontId="69" fillId="26" borderId="3" xfId="1" applyFont="1" applyFill="1" applyBorder="1" applyAlignment="1" applyProtection="1">
      <alignment horizontal="center" vertical="center" wrapText="1"/>
      <protection hidden="1"/>
    </xf>
    <xf numFmtId="0" fontId="176" fillId="2" borderId="3" xfId="0" applyFont="1" applyFill="1" applyBorder="1" applyAlignment="1">
      <alignment horizontal="left" vertical="center" wrapText="1"/>
    </xf>
    <xf numFmtId="0" fontId="176" fillId="2" borderId="13" xfId="0" applyFont="1" applyFill="1" applyBorder="1" applyAlignment="1">
      <alignment horizontal="center" vertical="center"/>
    </xf>
    <xf numFmtId="0" fontId="176" fillId="2" borderId="12" xfId="0" applyFont="1" applyFill="1" applyBorder="1" applyAlignment="1">
      <alignment horizontal="center" vertical="center"/>
    </xf>
    <xf numFmtId="0" fontId="72" fillId="78" borderId="144" xfId="0" applyFont="1" applyFill="1" applyBorder="1" applyAlignment="1">
      <alignment horizontal="center" vertical="center" wrapText="1"/>
    </xf>
    <xf numFmtId="0" fontId="72" fillId="78" borderId="0" xfId="0" applyFont="1" applyFill="1" applyBorder="1" applyAlignment="1">
      <alignment horizontal="center" vertical="center" wrapText="1"/>
    </xf>
    <xf numFmtId="2" fontId="28" fillId="4" borderId="0" xfId="2" applyNumberFormat="1" applyFont="1" applyFill="1" applyAlignment="1">
      <alignment horizontal="center" vertical="center"/>
    </xf>
    <xf numFmtId="2" fontId="74" fillId="13" borderId="251" xfId="2" applyNumberFormat="1" applyFont="1" applyFill="1" applyBorder="1" applyAlignment="1">
      <alignment horizontal="center" vertical="center" wrapText="1"/>
    </xf>
    <xf numFmtId="2" fontId="74" fillId="13" borderId="252" xfId="2" applyNumberFormat="1" applyFont="1" applyFill="1" applyBorder="1" applyAlignment="1">
      <alignment horizontal="center" vertical="center" wrapText="1"/>
    </xf>
    <xf numFmtId="2" fontId="74" fillId="13" borderId="253" xfId="2" applyNumberFormat="1" applyFont="1" applyFill="1" applyBorder="1" applyAlignment="1">
      <alignment horizontal="center" vertical="center" wrapText="1"/>
    </xf>
    <xf numFmtId="2" fontId="74" fillId="22" borderId="251" xfId="2" applyNumberFormat="1" applyFont="1" applyFill="1" applyBorder="1" applyAlignment="1">
      <alignment horizontal="center" vertical="center" wrapText="1"/>
    </xf>
    <xf numFmtId="2" fontId="74" fillId="22" borderId="252" xfId="2" applyNumberFormat="1" applyFont="1" applyFill="1" applyBorder="1" applyAlignment="1">
      <alignment horizontal="center" vertical="center" wrapText="1"/>
    </xf>
    <xf numFmtId="2" fontId="74" fillId="22" borderId="253" xfId="2" applyNumberFormat="1" applyFont="1" applyFill="1" applyBorder="1" applyAlignment="1">
      <alignment horizontal="center" vertical="center" wrapText="1"/>
    </xf>
    <xf numFmtId="2" fontId="74" fillId="98" borderId="255" xfId="2" applyNumberFormat="1" applyFont="1" applyFill="1" applyBorder="1" applyAlignment="1">
      <alignment horizontal="center" vertical="center" wrapText="1"/>
    </xf>
    <xf numFmtId="2" fontId="74" fillId="98" borderId="256" xfId="2" applyNumberFormat="1" applyFont="1" applyFill="1" applyBorder="1" applyAlignment="1">
      <alignment horizontal="center" vertical="center" wrapText="1"/>
    </xf>
    <xf numFmtId="2" fontId="74" fillId="98" borderId="254" xfId="2" applyNumberFormat="1" applyFont="1" applyFill="1" applyBorder="1" applyAlignment="1">
      <alignment horizontal="center" vertical="center" wrapText="1"/>
    </xf>
    <xf numFmtId="2" fontId="74" fillId="98" borderId="257" xfId="2" applyNumberFormat="1" applyFont="1" applyFill="1" applyBorder="1" applyAlignment="1">
      <alignment horizontal="center" vertical="center" wrapText="1"/>
    </xf>
    <xf numFmtId="2" fontId="74" fillId="98" borderId="258" xfId="2" applyNumberFormat="1" applyFont="1" applyFill="1" applyBorder="1" applyAlignment="1">
      <alignment horizontal="center" vertical="center" wrapText="1"/>
    </xf>
    <xf numFmtId="2" fontId="74" fillId="98" borderId="259" xfId="2" applyNumberFormat="1" applyFont="1" applyFill="1" applyBorder="1" applyAlignment="1">
      <alignment horizontal="center" vertical="center" wrapText="1"/>
    </xf>
    <xf numFmtId="0" fontId="15" fillId="6" borderId="213" xfId="1" applyFont="1" applyFill="1" applyBorder="1" applyAlignment="1">
      <alignment horizontal="center" vertical="center"/>
    </xf>
    <xf numFmtId="164" fontId="41" fillId="70" borderId="212" xfId="3" applyNumberFormat="1" applyFont="1" applyFill="1" applyBorder="1" applyAlignment="1">
      <alignment horizontal="center" vertical="center"/>
    </xf>
    <xf numFmtId="164" fontId="41" fillId="70" borderId="216" xfId="3" applyNumberFormat="1" applyFont="1" applyFill="1" applyBorder="1" applyAlignment="1">
      <alignment horizontal="center" vertical="center"/>
    </xf>
    <xf numFmtId="0" fontId="20" fillId="10" borderId="10" xfId="4" applyFont="1" applyFill="1" applyBorder="1" applyAlignment="1">
      <alignment horizontal="center" vertical="center"/>
    </xf>
    <xf numFmtId="0" fontId="62" fillId="4" borderId="65" xfId="1" applyFont="1" applyFill="1" applyBorder="1" applyAlignment="1">
      <alignment horizontal="right" vertical="center"/>
    </xf>
    <xf numFmtId="0" fontId="62" fillId="4" borderId="52" xfId="1" applyFont="1" applyFill="1" applyBorder="1" applyAlignment="1">
      <alignment horizontal="right" vertical="center"/>
    </xf>
    <xf numFmtId="196" fontId="225" fillId="70" borderId="248" xfId="3" applyNumberFormat="1" applyFont="1" applyFill="1" applyBorder="1" applyAlignment="1">
      <alignment horizontal="center" vertical="center"/>
    </xf>
    <xf numFmtId="196" fontId="225" fillId="70" borderId="249" xfId="3" applyNumberFormat="1" applyFont="1" applyFill="1" applyBorder="1" applyAlignment="1">
      <alignment horizontal="center" vertical="center"/>
    </xf>
    <xf numFmtId="164" fontId="224" fillId="70" borderId="200" xfId="3" applyNumberFormat="1" applyFont="1" applyFill="1" applyBorder="1" applyAlignment="1">
      <alignment horizontal="center" vertical="center"/>
    </xf>
    <xf numFmtId="164" fontId="224" fillId="70" borderId="147" xfId="3" applyNumberFormat="1" applyFont="1" applyFill="1" applyBorder="1" applyAlignment="1">
      <alignment horizontal="center" vertical="center"/>
    </xf>
    <xf numFmtId="0" fontId="174" fillId="4" borderId="0" xfId="8" applyFont="1" applyFill="1" applyBorder="1" applyAlignment="1">
      <alignment horizontal="left" vertical="center"/>
    </xf>
    <xf numFmtId="0" fontId="82" fillId="4" borderId="176" xfId="1" applyFont="1" applyFill="1" applyBorder="1" applyAlignment="1" applyProtection="1">
      <alignment horizontal="center" vertical="center"/>
      <protection hidden="1"/>
    </xf>
    <xf numFmtId="164" fontId="57" fillId="79" borderId="209" xfId="3" applyNumberFormat="1" applyFont="1" applyFill="1" applyBorder="1" applyAlignment="1">
      <alignment horizontal="center" vertical="center"/>
    </xf>
    <xf numFmtId="164" fontId="57" fillId="79" borderId="30" xfId="3" applyNumberFormat="1" applyFont="1" applyFill="1" applyBorder="1" applyAlignment="1">
      <alignment horizontal="center" vertical="center"/>
    </xf>
    <xf numFmtId="164" fontId="34" fillId="19" borderId="145" xfId="3" applyNumberFormat="1" applyFont="1" applyFill="1" applyBorder="1" applyAlignment="1">
      <alignment horizontal="center" vertical="center"/>
    </xf>
    <xf numFmtId="164" fontId="34" fillId="19" borderId="143" xfId="3" applyNumberFormat="1" applyFont="1" applyFill="1" applyBorder="1" applyAlignment="1">
      <alignment horizontal="center" vertical="center"/>
    </xf>
    <xf numFmtId="192" fontId="224" fillId="24" borderId="0" xfId="1" applyNumberFormat="1" applyFont="1" applyFill="1" applyBorder="1" applyAlignment="1">
      <alignment horizontal="left" vertical="center"/>
    </xf>
    <xf numFmtId="0" fontId="88" fillId="4" borderId="6" xfId="0" applyFont="1" applyFill="1" applyBorder="1" applyAlignment="1">
      <alignment horizontal="center" vertical="center" wrapText="1"/>
    </xf>
    <xf numFmtId="0" fontId="88" fillId="4" borderId="0" xfId="0" applyFont="1" applyFill="1" applyBorder="1" applyAlignment="1">
      <alignment horizontal="center" vertical="center" wrapText="1"/>
    </xf>
    <xf numFmtId="0" fontId="88" fillId="4" borderId="176" xfId="0" applyFont="1" applyFill="1" applyBorder="1" applyAlignment="1">
      <alignment horizontal="center" vertical="center" wrapText="1"/>
    </xf>
    <xf numFmtId="0" fontId="88" fillId="4" borderId="145" xfId="0" applyFont="1" applyFill="1" applyBorder="1" applyAlignment="1">
      <alignment horizontal="center" vertical="center" wrapText="1"/>
    </xf>
    <xf numFmtId="166" fontId="41" fillId="70" borderId="176" xfId="3" applyNumberFormat="1" applyFont="1" applyFill="1" applyBorder="1" applyAlignment="1">
      <alignment horizontal="center" vertical="center"/>
    </xf>
    <xf numFmtId="0" fontId="243" fillId="77" borderId="205" xfId="0" applyFont="1" applyFill="1" applyBorder="1" applyAlignment="1">
      <alignment horizontal="right"/>
    </xf>
    <xf numFmtId="0" fontId="243" fillId="77" borderId="208" xfId="0" applyFont="1" applyFill="1" applyBorder="1" applyAlignment="1">
      <alignment horizontal="right"/>
    </xf>
    <xf numFmtId="0" fontId="233" fillId="4" borderId="187" xfId="0" applyFont="1" applyFill="1" applyBorder="1" applyAlignment="1">
      <alignment horizontal="right" vertical="center"/>
    </xf>
    <xf numFmtId="0" fontId="233" fillId="4" borderId="5" xfId="0" applyFont="1" applyFill="1" applyBorder="1" applyAlignment="1">
      <alignment horizontal="right" vertical="center"/>
    </xf>
    <xf numFmtId="0" fontId="233" fillId="4" borderId="0" xfId="0" applyFont="1" applyFill="1" applyBorder="1" applyAlignment="1">
      <alignment horizontal="right" vertical="center"/>
    </xf>
    <xf numFmtId="0" fontId="233" fillId="4" borderId="188" xfId="0" applyFont="1" applyFill="1" applyBorder="1" applyAlignment="1">
      <alignment horizontal="right" vertical="center"/>
    </xf>
    <xf numFmtId="0" fontId="233" fillId="4" borderId="186" xfId="0" applyFont="1" applyFill="1" applyBorder="1" applyAlignment="1">
      <alignment horizontal="right" vertical="center"/>
    </xf>
    <xf numFmtId="0" fontId="233" fillId="4" borderId="6" xfId="0" applyFont="1" applyFill="1" applyBorder="1" applyAlignment="1">
      <alignment horizontal="right" vertical="center" wrapText="1"/>
    </xf>
    <xf numFmtId="0" fontId="233" fillId="4" borderId="0" xfId="0" applyFont="1" applyFill="1" applyBorder="1" applyAlignment="1">
      <alignment horizontal="right" vertical="center" wrapText="1"/>
    </xf>
    <xf numFmtId="0" fontId="70" fillId="77" borderId="25" xfId="0" applyFont="1" applyFill="1" applyBorder="1" applyAlignment="1">
      <alignment horizontal="center" vertical="center"/>
    </xf>
    <xf numFmtId="0" fontId="70" fillId="77" borderId="5" xfId="0" applyFont="1" applyFill="1" applyBorder="1" applyAlignment="1">
      <alignment horizontal="center" vertical="center"/>
    </xf>
    <xf numFmtId="0" fontId="51" fillId="26" borderId="13" xfId="1" applyFont="1" applyFill="1" applyBorder="1" applyAlignment="1" applyProtection="1">
      <alignment horizontal="center" vertical="center" wrapText="1"/>
      <protection hidden="1"/>
    </xf>
    <xf numFmtId="0" fontId="69" fillId="26" borderId="13" xfId="1" applyFont="1" applyFill="1" applyBorder="1" applyAlignment="1" applyProtection="1">
      <alignment horizontal="center" vertical="center" wrapText="1"/>
      <protection hidden="1"/>
    </xf>
    <xf numFmtId="0" fontId="20" fillId="10" borderId="144" xfId="4" applyFont="1" applyFill="1" applyBorder="1" applyAlignment="1">
      <alignment horizontal="center" vertical="center"/>
    </xf>
    <xf numFmtId="0" fontId="15" fillId="6" borderId="13" xfId="1" applyFont="1" applyFill="1" applyBorder="1" applyAlignment="1">
      <alignment horizontal="center" vertical="center"/>
    </xf>
    <xf numFmtId="0" fontId="0" fillId="13" borderId="0" xfId="0" applyFill="1" applyBorder="1" applyAlignment="1">
      <alignment horizontal="center"/>
    </xf>
    <xf numFmtId="169" fontId="381" fillId="70" borderId="225" xfId="3" applyNumberFormat="1" applyFont="1" applyFill="1" applyBorder="1" applyAlignment="1">
      <alignment horizontal="center" vertical="center"/>
    </xf>
    <xf numFmtId="169" fontId="381" fillId="70" borderId="228" xfId="3" applyNumberFormat="1" applyFont="1" applyFill="1" applyBorder="1" applyAlignment="1">
      <alignment horizontal="center" vertical="center"/>
    </xf>
    <xf numFmtId="0" fontId="20" fillId="9" borderId="0" xfId="4" applyFont="1" applyFill="1" applyBorder="1" applyAlignment="1">
      <alignment horizontal="center" vertical="center"/>
    </xf>
    <xf numFmtId="0" fontId="62" fillId="4" borderId="229" xfId="1" applyFont="1" applyFill="1" applyBorder="1" applyAlignment="1">
      <alignment horizontal="right" vertical="center"/>
    </xf>
    <xf numFmtId="0" fontId="62" fillId="4" borderId="230" xfId="1" applyFont="1" applyFill="1" applyBorder="1" applyAlignment="1">
      <alignment horizontal="right" vertical="center"/>
    </xf>
    <xf numFmtId="196" fontId="225" fillId="70" borderId="231" xfId="3" applyNumberFormat="1" applyFont="1" applyFill="1" applyBorder="1" applyAlignment="1">
      <alignment horizontal="center" vertical="center"/>
    </xf>
    <xf numFmtId="196" fontId="225" fillId="70" borderId="234" xfId="3" applyNumberFormat="1" applyFont="1" applyFill="1" applyBorder="1" applyAlignment="1">
      <alignment horizontal="center" vertical="center"/>
    </xf>
    <xf numFmtId="169" fontId="138" fillId="13" borderId="144" xfId="2" applyNumberFormat="1" applyFont="1" applyFill="1" applyBorder="1" applyAlignment="1">
      <alignment horizontal="center" vertical="center"/>
    </xf>
    <xf numFmtId="169" fontId="138" fillId="13" borderId="0" xfId="2" applyNumberFormat="1" applyFont="1" applyFill="1" applyBorder="1" applyAlignment="1">
      <alignment horizontal="center" vertical="center"/>
    </xf>
    <xf numFmtId="0" fontId="70" fillId="30" borderId="11" xfId="0" applyFont="1" applyFill="1" applyBorder="1" applyAlignment="1">
      <alignment horizontal="center" vertical="center"/>
    </xf>
    <xf numFmtId="0" fontId="25" fillId="4" borderId="0" xfId="1" applyFont="1" applyFill="1" applyBorder="1" applyAlignment="1" applyProtection="1">
      <alignment horizontal="center" vertical="center"/>
      <protection hidden="1"/>
    </xf>
    <xf numFmtId="0" fontId="71" fillId="13" borderId="144" xfId="0" applyFont="1" applyFill="1" applyBorder="1" applyAlignment="1">
      <alignment horizontal="center" vertical="center"/>
    </xf>
    <xf numFmtId="0" fontId="71" fillId="13" borderId="0" xfId="0" applyFont="1" applyFill="1" applyBorder="1" applyAlignment="1">
      <alignment horizontal="center" vertical="center"/>
    </xf>
    <xf numFmtId="0" fontId="407" fillId="13" borderId="0" xfId="0" applyFont="1" applyFill="1" applyBorder="1" applyAlignment="1">
      <alignment horizontal="center" vertical="center" wrapText="1"/>
    </xf>
    <xf numFmtId="2" fontId="403" fillId="16" borderId="247" xfId="1" applyNumberFormat="1" applyFont="1" applyFill="1" applyBorder="1" applyAlignment="1">
      <alignment horizontal="center" vertical="center" wrapText="1"/>
    </xf>
    <xf numFmtId="2" fontId="403" fillId="16" borderId="0" xfId="1" applyNumberFormat="1" applyFont="1" applyFill="1" applyBorder="1" applyAlignment="1">
      <alignment horizontal="center" vertical="center" wrapText="1"/>
    </xf>
    <xf numFmtId="0" fontId="0" fillId="4" borderId="10" xfId="0" applyFill="1" applyBorder="1" applyAlignment="1">
      <alignment horizontal="left" vertical="center"/>
    </xf>
    <xf numFmtId="0" fontId="66" fillId="2" borderId="0" xfId="0" applyFont="1" applyFill="1" applyBorder="1" applyAlignment="1">
      <alignment horizontal="left" vertical="center"/>
    </xf>
    <xf numFmtId="0" fontId="391" fillId="8" borderId="144" xfId="1" applyFont="1" applyFill="1" applyBorder="1" applyAlignment="1" applyProtection="1">
      <alignment horizontal="left" vertical="center"/>
      <protection hidden="1"/>
    </xf>
    <xf numFmtId="0" fontId="391" fillId="8" borderId="0" xfId="1" applyFont="1" applyFill="1" applyBorder="1" applyAlignment="1" applyProtection="1">
      <alignment horizontal="left" vertical="center"/>
      <protection hidden="1"/>
    </xf>
    <xf numFmtId="0" fontId="391" fillId="8" borderId="10" xfId="1" applyFont="1" applyFill="1" applyBorder="1" applyAlignment="1" applyProtection="1">
      <alignment horizontal="left" vertical="center"/>
      <protection hidden="1"/>
    </xf>
    <xf numFmtId="0" fontId="5" fillId="96" borderId="53" xfId="1" applyFont="1" applyFill="1" applyBorder="1" applyAlignment="1">
      <alignment horizontal="center" vertical="center"/>
    </xf>
    <xf numFmtId="0" fontId="5" fillId="96" borderId="9" xfId="1" applyFont="1" applyFill="1" applyBorder="1" applyAlignment="1">
      <alignment horizontal="center" vertical="center"/>
    </xf>
    <xf numFmtId="0" fontId="5" fillId="96" borderId="6" xfId="1" applyFont="1" applyFill="1" applyBorder="1" applyAlignment="1">
      <alignment horizontal="center" vertical="center"/>
    </xf>
    <xf numFmtId="0" fontId="5" fillId="96" borderId="0" xfId="1" applyFont="1" applyFill="1" applyBorder="1" applyAlignment="1">
      <alignment horizontal="center" vertical="center"/>
    </xf>
    <xf numFmtId="0" fontId="0" fillId="4" borderId="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5" xfId="0" applyFill="1" applyBorder="1" applyAlignment="1">
      <alignment horizontal="center" vertical="center" wrapText="1"/>
    </xf>
    <xf numFmtId="0" fontId="394" fillId="4" borderId="6" xfId="0" applyFont="1" applyFill="1" applyBorder="1" applyAlignment="1">
      <alignment horizontal="center" vertical="center" wrapText="1"/>
    </xf>
    <xf numFmtId="0" fontId="394" fillId="4" borderId="0" xfId="0" applyFont="1" applyFill="1" applyBorder="1" applyAlignment="1">
      <alignment horizontal="center" vertical="center" wrapText="1"/>
    </xf>
    <xf numFmtId="0" fontId="394" fillId="4" borderId="5" xfId="0" applyFont="1" applyFill="1" applyBorder="1" applyAlignment="1">
      <alignment horizontal="center" vertical="center" wrapText="1"/>
    </xf>
    <xf numFmtId="167" fontId="402" fillId="4" borderId="0" xfId="3" applyNumberFormat="1" applyFont="1" applyFill="1" applyBorder="1" applyAlignment="1">
      <alignment horizontal="center" vertical="center"/>
    </xf>
    <xf numFmtId="167" fontId="402" fillId="4" borderId="145" xfId="3" applyNumberFormat="1" applyFont="1" applyFill="1" applyBorder="1" applyAlignment="1">
      <alignment horizontal="center" vertical="center"/>
    </xf>
    <xf numFmtId="167" fontId="11" fillId="4" borderId="0" xfId="3" applyNumberFormat="1" applyFont="1" applyFill="1" applyBorder="1" applyAlignment="1">
      <alignment horizontal="left" vertical="center" wrapText="1"/>
    </xf>
    <xf numFmtId="168" fontId="31" fillId="16" borderId="247" xfId="1" applyNumberFormat="1" applyFont="1" applyFill="1" applyBorder="1" applyAlignment="1">
      <alignment horizontal="center" vertical="center"/>
    </xf>
    <xf numFmtId="168" fontId="31" fillId="16" borderId="0" xfId="1" applyNumberFormat="1" applyFont="1" applyFill="1" applyBorder="1" applyAlignment="1">
      <alignment horizontal="center" vertical="center"/>
    </xf>
    <xf numFmtId="0" fontId="56" fillId="4" borderId="246" xfId="1" applyFont="1" applyFill="1" applyBorder="1" applyAlignment="1" applyProtection="1">
      <alignment horizontal="center" vertical="center" wrapText="1"/>
      <protection hidden="1"/>
    </xf>
    <xf numFmtId="0" fontId="56" fillId="4" borderId="31" xfId="1" applyFont="1" applyFill="1" applyBorder="1" applyAlignment="1" applyProtection="1">
      <alignment horizontal="center" vertical="center" wrapText="1"/>
      <protection hidden="1"/>
    </xf>
    <xf numFmtId="0" fontId="5" fillId="4" borderId="280" xfId="1" applyFont="1" applyFill="1" applyBorder="1" applyAlignment="1" applyProtection="1">
      <alignment horizontal="center" vertical="center" wrapText="1"/>
      <protection hidden="1"/>
    </xf>
    <xf numFmtId="0" fontId="5" fillId="4" borderId="285" xfId="1" applyFont="1" applyFill="1" applyBorder="1" applyAlignment="1" applyProtection="1">
      <alignment horizontal="center" vertical="center" wrapText="1"/>
      <protection hidden="1"/>
    </xf>
    <xf numFmtId="166" fontId="239" fillId="97" borderId="294" xfId="3" applyNumberFormat="1" applyFont="1" applyFill="1" applyBorder="1" applyAlignment="1">
      <alignment horizontal="center" vertical="center"/>
    </xf>
    <xf numFmtId="166" fontId="239" fillId="97" borderId="145" xfId="3" applyNumberFormat="1" applyFont="1" applyFill="1" applyBorder="1" applyAlignment="1">
      <alignment horizontal="center" vertical="center"/>
    </xf>
    <xf numFmtId="0" fontId="20" fillId="9" borderId="10" xfId="4" applyFont="1" applyFill="1" applyBorder="1" applyAlignment="1">
      <alignment horizontal="center" vertical="center"/>
    </xf>
    <xf numFmtId="0" fontId="41" fillId="2" borderId="0" xfId="0" applyFont="1" applyFill="1" applyBorder="1" applyAlignment="1">
      <alignment horizontal="left" vertical="center"/>
    </xf>
    <xf numFmtId="0" fontId="0" fillId="4" borderId="0" xfId="0" applyFill="1" applyAlignment="1">
      <alignment horizontal="left" vertical="center"/>
    </xf>
    <xf numFmtId="0" fontId="15" fillId="6" borderId="301" xfId="1" applyFont="1" applyFill="1" applyBorder="1" applyAlignment="1">
      <alignment horizontal="center" vertical="center"/>
    </xf>
    <xf numFmtId="0" fontId="15" fillId="6" borderId="304" xfId="1" applyFont="1" applyFill="1" applyBorder="1" applyAlignment="1">
      <alignment horizontal="center" vertical="center"/>
    </xf>
    <xf numFmtId="0" fontId="2" fillId="0" borderId="6" xfId="0" applyFont="1" applyBorder="1" applyAlignment="1">
      <alignment horizontal="center" vertical="center" wrapText="1"/>
    </xf>
    <xf numFmtId="0" fontId="2" fillId="0" borderId="0" xfId="0" applyFont="1" applyBorder="1" applyAlignment="1">
      <alignment horizontal="center" vertical="center" wrapText="1"/>
    </xf>
    <xf numFmtId="0" fontId="2" fillId="0" borderId="5" xfId="0" applyFont="1" applyBorder="1" applyAlignment="1">
      <alignment horizontal="center" vertical="center" wrapText="1"/>
    </xf>
    <xf numFmtId="0" fontId="392" fillId="0" borderId="6" xfId="0" applyFont="1" applyBorder="1" applyAlignment="1">
      <alignment horizontal="center" vertical="center" wrapText="1"/>
    </xf>
    <xf numFmtId="0" fontId="392" fillId="0" borderId="0" xfId="0" applyFont="1" applyBorder="1" applyAlignment="1">
      <alignment horizontal="center" vertical="center" wrapText="1"/>
    </xf>
    <xf numFmtId="0" fontId="392" fillId="0" borderId="5" xfId="0" applyFont="1" applyBorder="1" applyAlignment="1">
      <alignment horizontal="center" vertical="center" wrapText="1"/>
    </xf>
    <xf numFmtId="0" fontId="6" fillId="95" borderId="6" xfId="1" applyFont="1" applyFill="1" applyBorder="1" applyAlignment="1">
      <alignment horizontal="center" vertical="center"/>
    </xf>
    <xf numFmtId="0" fontId="6" fillId="95" borderId="0" xfId="1" applyFont="1" applyFill="1" applyBorder="1" applyAlignment="1">
      <alignment horizontal="center" vertical="center"/>
    </xf>
    <xf numFmtId="0" fontId="6" fillId="95" borderId="5" xfId="1" applyFont="1" applyFill="1" applyBorder="1" applyAlignment="1">
      <alignment horizontal="center" vertical="center"/>
    </xf>
    <xf numFmtId="0" fontId="5" fillId="3" borderId="194" xfId="1" applyFont="1" applyFill="1" applyBorder="1" applyAlignment="1">
      <alignment horizontal="center" vertical="center"/>
    </xf>
    <xf numFmtId="0" fontId="5" fillId="3" borderId="3" xfId="1" applyFont="1" applyFill="1" applyBorder="1" applyAlignment="1">
      <alignment horizontal="center" vertical="center"/>
    </xf>
    <xf numFmtId="0" fontId="389" fillId="2" borderId="150" xfId="1" applyFont="1" applyFill="1" applyBorder="1" applyAlignment="1" applyProtection="1">
      <alignment horizontal="left" vertical="center"/>
      <protection hidden="1"/>
    </xf>
    <xf numFmtId="0" fontId="389" fillId="2" borderId="1" xfId="1" applyFont="1" applyFill="1" applyBorder="1" applyAlignment="1" applyProtection="1">
      <alignment horizontal="left" vertical="center"/>
      <protection hidden="1"/>
    </xf>
    <xf numFmtId="0" fontId="389" fillId="2" borderId="149" xfId="1" applyFont="1" applyFill="1" applyBorder="1" applyAlignment="1" applyProtection="1">
      <alignment horizontal="left" vertical="center"/>
      <protection hidden="1"/>
    </xf>
    <xf numFmtId="2" fontId="174" fillId="4" borderId="0" xfId="8" applyNumberFormat="1" applyFont="1" applyFill="1" applyAlignment="1">
      <alignment horizontal="left" vertical="center"/>
    </xf>
    <xf numFmtId="2" fontId="457" fillId="4" borderId="0" xfId="2" applyNumberFormat="1" applyFont="1" applyFill="1" applyAlignment="1">
      <alignment horizontal="left" vertical="center"/>
    </xf>
    <xf numFmtId="2" fontId="440" fillId="4" borderId="0" xfId="2" applyNumberFormat="1" applyFont="1" applyFill="1" applyAlignment="1">
      <alignment horizontal="left" vertical="center"/>
    </xf>
    <xf numFmtId="0" fontId="88" fillId="4" borderId="290" xfId="0" applyFont="1" applyFill="1" applyBorder="1" applyAlignment="1">
      <alignment horizontal="center" vertical="center" wrapText="1"/>
    </xf>
    <xf numFmtId="164" fontId="41" fillId="70" borderId="308" xfId="3" applyNumberFormat="1" applyFont="1" applyFill="1" applyBorder="1" applyAlignment="1">
      <alignment horizontal="center" vertical="center"/>
    </xf>
    <xf numFmtId="0" fontId="20" fillId="10" borderId="180" xfId="4" applyFont="1" applyFill="1" applyBorder="1" applyAlignment="1">
      <alignment horizontal="center" vertical="center"/>
    </xf>
    <xf numFmtId="0" fontId="15" fillId="6" borderId="156" xfId="1" applyFont="1" applyFill="1" applyBorder="1" applyAlignment="1">
      <alignment horizontal="center" vertical="center"/>
    </xf>
    <xf numFmtId="0" fontId="260" fillId="77" borderId="0" xfId="0" applyFont="1" applyFill="1" applyBorder="1" applyAlignment="1">
      <alignment horizontal="center" vertical="center" wrapText="1"/>
    </xf>
    <xf numFmtId="164" fontId="41" fillId="70" borderId="53" xfId="3" applyNumberFormat="1" applyFont="1" applyFill="1" applyBorder="1" applyAlignment="1">
      <alignment horizontal="center" vertical="center"/>
    </xf>
    <xf numFmtId="164" fontId="41" fillId="70" borderId="8" xfId="3" applyNumberFormat="1" applyFont="1" applyFill="1" applyBorder="1" applyAlignment="1">
      <alignment horizontal="center" vertical="center"/>
    </xf>
    <xf numFmtId="164" fontId="41" fillId="70" borderId="150" xfId="3" applyNumberFormat="1" applyFont="1" applyFill="1" applyBorder="1" applyAlignment="1">
      <alignment horizontal="center" vertical="center"/>
    </xf>
    <xf numFmtId="164" fontId="41" fillId="70" borderId="149" xfId="3" applyNumberFormat="1" applyFont="1" applyFill="1" applyBorder="1" applyAlignment="1">
      <alignment horizontal="center" vertical="center"/>
    </xf>
    <xf numFmtId="0" fontId="70" fillId="77" borderId="6" xfId="0" applyFont="1" applyFill="1" applyBorder="1" applyAlignment="1">
      <alignment horizontal="left" vertical="center" wrapText="1"/>
    </xf>
    <xf numFmtId="0" fontId="70" fillId="77" borderId="0" xfId="0" applyFont="1" applyFill="1" applyAlignment="1">
      <alignment horizontal="left" vertical="center" wrapText="1"/>
    </xf>
    <xf numFmtId="164" fontId="225" fillId="70" borderId="231" xfId="3" applyNumberFormat="1" applyFont="1" applyFill="1" applyBorder="1" applyAlignment="1">
      <alignment horizontal="center" vertical="center"/>
    </xf>
    <xf numFmtId="164" fontId="225" fillId="70" borderId="234" xfId="3" applyNumberFormat="1" applyFont="1" applyFill="1" applyBorder="1" applyAlignment="1">
      <alignment horizontal="center" vertical="center"/>
    </xf>
    <xf numFmtId="166" fontId="21" fillId="80" borderId="5" xfId="3" applyNumberFormat="1" applyFont="1" applyFill="1" applyBorder="1" applyAlignment="1">
      <alignment horizontal="center" vertical="center" wrapText="1"/>
    </xf>
    <xf numFmtId="0" fontId="11" fillId="4" borderId="0" xfId="1" applyFont="1" applyFill="1" applyBorder="1" applyAlignment="1" applyProtection="1">
      <alignment horizontal="left" vertical="center" wrapText="1"/>
      <protection hidden="1"/>
    </xf>
    <xf numFmtId="0" fontId="11" fillId="4" borderId="180" xfId="1" applyFont="1" applyFill="1" applyBorder="1" applyAlignment="1" applyProtection="1">
      <alignment horizontal="left" vertical="center" wrapText="1"/>
      <protection hidden="1"/>
    </xf>
    <xf numFmtId="0" fontId="232" fillId="77" borderId="6" xfId="0" applyFont="1" applyFill="1" applyBorder="1" applyAlignment="1">
      <alignment horizontal="center" vertical="center"/>
    </xf>
    <xf numFmtId="0" fontId="232" fillId="77" borderId="0" xfId="0" applyFont="1" applyFill="1" applyBorder="1" applyAlignment="1">
      <alignment horizontal="center" vertical="center"/>
    </xf>
    <xf numFmtId="0" fontId="344" fillId="4" borderId="5" xfId="0" applyFont="1" applyFill="1" applyBorder="1" applyAlignment="1">
      <alignment horizontal="center" vertical="center" wrapText="1"/>
    </xf>
    <xf numFmtId="164" fontId="57" fillId="79" borderId="191" xfId="3" applyNumberFormat="1" applyFont="1" applyFill="1" applyBorder="1" applyAlignment="1">
      <alignment horizontal="center" vertical="center"/>
    </xf>
    <xf numFmtId="0" fontId="0" fillId="4" borderId="201" xfId="0" applyFill="1" applyBorder="1" applyAlignment="1">
      <alignment horizontal="center" vertical="center"/>
    </xf>
    <xf numFmtId="0" fontId="26" fillId="4" borderId="201" xfId="0" applyFont="1" applyFill="1" applyBorder="1" applyAlignment="1">
      <alignment horizontal="right" vertical="center"/>
    </xf>
    <xf numFmtId="169" fontId="181" fillId="22" borderId="202" xfId="3" applyNumberFormat="1" applyFont="1" applyFill="1" applyBorder="1" applyAlignment="1">
      <alignment horizontal="center" vertical="center"/>
    </xf>
    <xf numFmtId="169" fontId="181" fillId="22" borderId="30" xfId="3" applyNumberFormat="1" applyFont="1" applyFill="1" applyBorder="1" applyAlignment="1">
      <alignment horizontal="center" vertical="center"/>
    </xf>
    <xf numFmtId="169" fontId="26" fillId="22" borderId="291" xfId="3" applyNumberFormat="1" applyFont="1" applyFill="1" applyBorder="1" applyAlignment="1">
      <alignment horizontal="center" vertical="center"/>
    </xf>
    <xf numFmtId="0" fontId="17" fillId="4" borderId="277" xfId="0" applyFont="1" applyFill="1" applyBorder="1" applyAlignment="1">
      <alignment horizontal="right" vertical="center" wrapText="1"/>
    </xf>
    <xf numFmtId="0" fontId="174" fillId="37" borderId="0" xfId="8" applyFont="1" applyFill="1" applyAlignment="1">
      <alignment horizontal="left" vertical="center"/>
    </xf>
    <xf numFmtId="0" fontId="174" fillId="2" borderId="0" xfId="8" applyFont="1" applyFill="1" applyAlignment="1">
      <alignment horizontal="left" vertical="center"/>
    </xf>
    <xf numFmtId="0" fontId="243" fillId="77" borderId="55" xfId="0" applyFont="1" applyFill="1" applyBorder="1" applyAlignment="1">
      <alignment horizontal="center"/>
    </xf>
    <xf numFmtId="0" fontId="243" fillId="77" borderId="175" xfId="0" applyFont="1" applyFill="1" applyBorder="1" applyAlignment="1">
      <alignment horizontal="center"/>
    </xf>
    <xf numFmtId="0" fontId="243" fillId="77" borderId="56" xfId="0" applyFont="1" applyFill="1" applyBorder="1" applyAlignment="1">
      <alignment horizontal="center"/>
    </xf>
    <xf numFmtId="1" fontId="181" fillId="22" borderId="206" xfId="3" applyNumberFormat="1" applyFont="1" applyFill="1" applyBorder="1" applyAlignment="1">
      <alignment horizontal="center" vertical="center"/>
    </xf>
    <xf numFmtId="1" fontId="181" fillId="22" borderId="143" xfId="3" applyNumberFormat="1" applyFont="1" applyFill="1" applyBorder="1" applyAlignment="1">
      <alignment horizontal="center" vertical="center"/>
    </xf>
    <xf numFmtId="0" fontId="371" fillId="0" borderId="0" xfId="8" applyFont="1" applyAlignment="1">
      <alignment horizontal="left" vertical="center"/>
    </xf>
    <xf numFmtId="0" fontId="371" fillId="0" borderId="0" xfId="8" applyFont="1" applyBorder="1" applyAlignment="1">
      <alignment horizontal="left" vertical="center"/>
    </xf>
    <xf numFmtId="0" fontId="461" fillId="0" borderId="0" xfId="8" applyFont="1" applyAlignment="1">
      <alignment horizontal="left" vertical="center"/>
    </xf>
    <xf numFmtId="0" fontId="72" fillId="7" borderId="144" xfId="0" applyFont="1" applyFill="1" applyBorder="1" applyAlignment="1">
      <alignment horizontal="center" vertical="center" wrapText="1"/>
    </xf>
    <xf numFmtId="0" fontId="72" fillId="7" borderId="0" xfId="0" applyFont="1" applyFill="1" applyBorder="1" applyAlignment="1">
      <alignment horizontal="center" vertical="center" wrapText="1"/>
    </xf>
    <xf numFmtId="0" fontId="143" fillId="119" borderId="372" xfId="13" applyFont="1" applyFill="1" applyBorder="1" applyAlignment="1" applyProtection="1">
      <alignment horizontal="right" vertical="center" wrapText="1"/>
      <protection locked="0"/>
    </xf>
    <xf numFmtId="0" fontId="143" fillId="119" borderId="365" xfId="13" applyFont="1" applyFill="1" applyBorder="1" applyAlignment="1" applyProtection="1">
      <alignment horizontal="right" vertical="center" wrapText="1"/>
      <protection locked="0"/>
    </xf>
    <xf numFmtId="0" fontId="63" fillId="18" borderId="203" xfId="13" applyNumberFormat="1" applyFont="1" applyFill="1" applyBorder="1" applyAlignment="1" applyProtection="1">
      <alignment horizontal="left" vertical="center"/>
      <protection locked="0"/>
    </xf>
    <xf numFmtId="0" fontId="143" fillId="119" borderId="373" xfId="13" applyFont="1" applyFill="1" applyBorder="1" applyAlignment="1" applyProtection="1">
      <alignment horizontal="right" vertical="center" wrapText="1"/>
      <protection locked="0"/>
    </xf>
    <xf numFmtId="0" fontId="143" fillId="119" borderId="374" xfId="13" applyFont="1" applyFill="1" applyBorder="1" applyAlignment="1" applyProtection="1">
      <alignment horizontal="right" vertical="center" wrapText="1"/>
      <protection locked="0"/>
    </xf>
    <xf numFmtId="0" fontId="63" fillId="18" borderId="369" xfId="13" applyNumberFormat="1" applyFont="1" applyFill="1" applyBorder="1" applyAlignment="1" applyProtection="1">
      <alignment horizontal="left" vertical="center"/>
      <protection locked="0"/>
    </xf>
    <xf numFmtId="0" fontId="159" fillId="22" borderId="278" xfId="2" applyFont="1" applyFill="1" applyBorder="1" applyAlignment="1">
      <alignment horizontal="center" vertical="center"/>
    </xf>
    <xf numFmtId="0" fontId="159" fillId="22" borderId="0" xfId="2" applyFont="1" applyFill="1" applyBorder="1" applyAlignment="1">
      <alignment horizontal="center" vertical="center"/>
    </xf>
    <xf numFmtId="0" fontId="143" fillId="119" borderId="364" xfId="13" applyFont="1" applyFill="1" applyBorder="1" applyAlignment="1" applyProtection="1">
      <alignment horizontal="right" vertical="center" wrapText="1"/>
      <protection locked="0"/>
    </xf>
    <xf numFmtId="0" fontId="155" fillId="0" borderId="361" xfId="13" applyFont="1" applyFill="1" applyBorder="1" applyAlignment="1" applyProtection="1">
      <alignment horizontal="center" vertical="center" wrapText="1"/>
      <protection locked="0"/>
    </xf>
    <xf numFmtId="0" fontId="51" fillId="18" borderId="362" xfId="4" applyNumberFormat="1" applyFont="1" applyFill="1" applyBorder="1" applyAlignment="1">
      <alignment horizontal="center" vertical="center"/>
    </xf>
    <xf numFmtId="0" fontId="51" fillId="18" borderId="363" xfId="4" applyNumberFormat="1" applyFont="1" applyFill="1" applyBorder="1" applyAlignment="1">
      <alignment horizontal="center" vertical="center"/>
    </xf>
    <xf numFmtId="0" fontId="21" fillId="18" borderId="150" xfId="4" applyNumberFormat="1" applyFont="1" applyFill="1" applyBorder="1" applyAlignment="1">
      <alignment horizontal="center" vertical="center"/>
    </xf>
    <xf numFmtId="0" fontId="21" fillId="18" borderId="1" xfId="4" applyNumberFormat="1" applyFont="1" applyFill="1" applyBorder="1" applyAlignment="1">
      <alignment horizontal="center" vertical="center"/>
    </xf>
    <xf numFmtId="0" fontId="21" fillId="18" borderId="149" xfId="4" applyNumberFormat="1" applyFont="1" applyFill="1" applyBorder="1" applyAlignment="1">
      <alignment horizontal="center" vertical="center"/>
    </xf>
    <xf numFmtId="0" fontId="534" fillId="25" borderId="342" xfId="13" applyFont="1" applyFill="1" applyBorder="1" applyAlignment="1">
      <alignment horizontal="center" vertical="center"/>
    </xf>
    <xf numFmtId="0" fontId="534" fillId="25" borderId="343" xfId="0" applyFont="1" applyFill="1" applyBorder="1" applyAlignment="1">
      <alignment horizontal="center" vertical="center"/>
    </xf>
    <xf numFmtId="0" fontId="51" fillId="18" borderId="342" xfId="13" applyFont="1" applyFill="1" applyBorder="1" applyAlignment="1">
      <alignment horizontal="center" vertical="center"/>
    </xf>
    <xf numFmtId="0" fontId="51" fillId="18" borderId="343" xfId="0" applyFont="1" applyFill="1" applyBorder="1" applyAlignment="1">
      <alignment horizontal="center" vertical="center"/>
    </xf>
    <xf numFmtId="0" fontId="51" fillId="18" borderId="344" xfId="0" applyFont="1" applyFill="1" applyBorder="1" applyAlignment="1">
      <alignment horizontal="center" vertical="center"/>
    </xf>
    <xf numFmtId="0" fontId="535" fillId="0" borderId="345" xfId="13" applyFont="1" applyFill="1" applyBorder="1" applyAlignment="1" applyProtection="1">
      <alignment horizontal="center" vertical="center"/>
      <protection locked="0"/>
    </xf>
    <xf numFmtId="0" fontId="535" fillId="0" borderId="346" xfId="13" applyFont="1" applyFill="1" applyBorder="1" applyAlignment="1" applyProtection="1">
      <alignment horizontal="center" vertical="center"/>
      <protection locked="0"/>
    </xf>
    <xf numFmtId="0" fontId="535" fillId="0" borderId="353" xfId="13" applyFont="1" applyFill="1" applyBorder="1" applyAlignment="1" applyProtection="1">
      <alignment horizontal="center" vertical="center"/>
      <protection locked="0"/>
    </xf>
    <xf numFmtId="0" fontId="535" fillId="0" borderId="0" xfId="13" applyFont="1" applyFill="1" applyBorder="1" applyAlignment="1" applyProtection="1">
      <alignment horizontal="center" vertical="center"/>
      <protection locked="0"/>
    </xf>
    <xf numFmtId="0" fontId="535" fillId="0" borderId="358" xfId="13" applyFont="1" applyFill="1" applyBorder="1" applyAlignment="1" applyProtection="1">
      <alignment horizontal="center" vertical="center"/>
      <protection locked="0"/>
    </xf>
    <xf numFmtId="0" fontId="535" fillId="0" borderId="359" xfId="13" applyFont="1" applyFill="1" applyBorder="1" applyAlignment="1" applyProtection="1">
      <alignment horizontal="center" vertical="center"/>
      <protection locked="0"/>
    </xf>
    <xf numFmtId="0" fontId="4" fillId="0" borderId="346" xfId="13" applyFont="1" applyFill="1" applyBorder="1" applyAlignment="1" applyProtection="1">
      <alignment horizontal="center" vertical="center" wrapText="1"/>
      <protection locked="0"/>
    </xf>
    <xf numFmtId="0" fontId="4" fillId="0" borderId="0" xfId="13" applyFont="1" applyFill="1" applyBorder="1" applyAlignment="1" applyProtection="1">
      <alignment horizontal="center" vertical="center" wrapText="1"/>
      <protection locked="0"/>
    </xf>
    <xf numFmtId="0" fontId="4" fillId="0" borderId="359" xfId="13" applyFont="1" applyFill="1" applyBorder="1" applyAlignment="1" applyProtection="1">
      <alignment horizontal="center" vertical="center" wrapText="1"/>
      <protection locked="0"/>
    </xf>
    <xf numFmtId="0" fontId="91" fillId="0" borderId="347" xfId="13" applyFont="1" applyFill="1" applyBorder="1" applyAlignment="1" applyProtection="1">
      <alignment horizontal="center" vertical="center" wrapText="1"/>
      <protection locked="0"/>
    </xf>
    <xf numFmtId="0" fontId="91" fillId="0" borderId="354" xfId="13" applyFont="1" applyFill="1" applyBorder="1" applyAlignment="1" applyProtection="1">
      <alignment horizontal="center" vertical="center" wrapText="1"/>
      <protection locked="0"/>
    </xf>
    <xf numFmtId="0" fontId="91" fillId="0" borderId="360" xfId="13" applyFont="1" applyFill="1" applyBorder="1" applyAlignment="1" applyProtection="1">
      <alignment horizontal="center" vertical="center" wrapText="1"/>
      <protection locked="0"/>
    </xf>
    <xf numFmtId="0" fontId="155" fillId="18" borderId="348" xfId="13" applyFont="1" applyFill="1" applyBorder="1" applyAlignment="1" applyProtection="1">
      <alignment horizontal="center" vertical="center" wrapText="1"/>
      <protection locked="0"/>
    </xf>
    <xf numFmtId="0" fontId="155" fillId="18" borderId="349" xfId="13" applyFont="1" applyFill="1" applyBorder="1" applyAlignment="1" applyProtection="1">
      <alignment horizontal="center" vertical="center" wrapText="1"/>
      <protection locked="0"/>
    </xf>
    <xf numFmtId="0" fontId="155" fillId="18" borderId="350" xfId="13" applyFont="1" applyFill="1" applyBorder="1" applyAlignment="1" applyProtection="1">
      <alignment horizontal="center" vertical="center" wrapText="1"/>
      <protection locked="0"/>
    </xf>
    <xf numFmtId="0" fontId="13" fillId="0" borderId="351" xfId="13" applyFont="1" applyFill="1" applyBorder="1" applyAlignment="1" applyProtection="1">
      <alignment horizontal="center" vertical="center"/>
      <protection locked="0"/>
    </xf>
    <xf numFmtId="0" fontId="13" fillId="0" borderId="352" xfId="13" applyFont="1" applyFill="1" applyBorder="1" applyAlignment="1" applyProtection="1">
      <alignment horizontal="center" vertical="center"/>
      <protection locked="0"/>
    </xf>
    <xf numFmtId="0" fontId="13" fillId="0" borderId="356" xfId="13" applyFont="1" applyFill="1" applyBorder="1" applyAlignment="1" applyProtection="1">
      <alignment horizontal="center" vertical="center"/>
      <protection locked="0"/>
    </xf>
    <xf numFmtId="0" fontId="13" fillId="0" borderId="357" xfId="13" applyFont="1" applyFill="1" applyBorder="1" applyAlignment="1" applyProtection="1">
      <alignment horizontal="center" vertical="center"/>
      <protection locked="0"/>
    </xf>
    <xf numFmtId="0" fontId="536" fillId="0" borderId="351" xfId="13" applyFont="1" applyFill="1" applyBorder="1" applyAlignment="1" applyProtection="1">
      <alignment horizontal="center" vertical="center"/>
      <protection locked="0"/>
    </xf>
    <xf numFmtId="0" fontId="536" fillId="0" borderId="346" xfId="13" applyFont="1" applyFill="1" applyBorder="1" applyAlignment="1" applyProtection="1">
      <alignment horizontal="center" vertical="center"/>
      <protection locked="0"/>
    </xf>
    <xf numFmtId="0" fontId="536" fillId="0" borderId="352" xfId="13" applyFont="1" applyFill="1" applyBorder="1" applyAlignment="1" applyProtection="1">
      <alignment horizontal="center" vertical="center"/>
      <protection locked="0"/>
    </xf>
    <xf numFmtId="0" fontId="536" fillId="0" borderId="356" xfId="13" applyFont="1" applyFill="1" applyBorder="1" applyAlignment="1" applyProtection="1">
      <alignment horizontal="center" vertical="center"/>
      <protection locked="0"/>
    </xf>
    <xf numFmtId="0" fontId="536" fillId="0" borderId="0" xfId="13" applyFont="1" applyFill="1" applyBorder="1" applyAlignment="1" applyProtection="1">
      <alignment horizontal="center" vertical="center"/>
      <protection locked="0"/>
    </xf>
    <xf numFmtId="0" fontId="536" fillId="0" borderId="357" xfId="13" applyFont="1" applyFill="1" applyBorder="1" applyAlignment="1" applyProtection="1">
      <alignment horizontal="center" vertical="center"/>
      <protection locked="0"/>
    </xf>
    <xf numFmtId="0" fontId="536" fillId="0" borderId="362" xfId="13" applyFont="1" applyFill="1" applyBorder="1" applyAlignment="1" applyProtection="1">
      <alignment horizontal="center" vertical="center"/>
      <protection locked="0"/>
    </xf>
    <xf numFmtId="0" fontId="536" fillId="0" borderId="359" xfId="13" applyFont="1" applyFill="1" applyBorder="1" applyAlignment="1" applyProtection="1">
      <alignment horizontal="center" vertical="center"/>
      <protection locked="0"/>
    </xf>
    <xf numFmtId="0" fontId="536" fillId="0" borderId="363" xfId="13" applyFont="1" applyFill="1" applyBorder="1" applyAlignment="1" applyProtection="1">
      <alignment horizontal="center" vertical="center"/>
      <protection locked="0"/>
    </xf>
    <xf numFmtId="2" fontId="91" fillId="18" borderId="356" xfId="4" applyNumberFormat="1" applyFont="1" applyFill="1" applyBorder="1" applyAlignment="1">
      <alignment horizontal="center" vertical="center"/>
    </xf>
    <xf numFmtId="2" fontId="91" fillId="18" borderId="357" xfId="4" applyNumberFormat="1" applyFont="1" applyFill="1" applyBorder="1" applyAlignment="1">
      <alignment horizontal="center" vertical="center"/>
    </xf>
    <xf numFmtId="0" fontId="155" fillId="25" borderId="325" xfId="2" applyFont="1" applyFill="1" applyBorder="1" applyAlignment="1">
      <alignment horizontal="center" vertical="center"/>
    </xf>
    <xf numFmtId="0" fontId="155" fillId="25" borderId="338" xfId="2" applyFont="1" applyFill="1" applyBorder="1" applyAlignment="1">
      <alignment horizontal="center" vertical="center"/>
    </xf>
    <xf numFmtId="0" fontId="149" fillId="18" borderId="205" xfId="2" applyFont="1" applyFill="1" applyBorder="1" applyAlignment="1">
      <alignment horizontal="center" vertical="center" wrapText="1"/>
    </xf>
    <xf numFmtId="0" fontId="149" fillId="18" borderId="340" xfId="2" applyFont="1" applyFill="1" applyBorder="1" applyAlignment="1">
      <alignment horizontal="center" vertical="center" wrapText="1"/>
    </xf>
    <xf numFmtId="0" fontId="149" fillId="18" borderId="206" xfId="2" applyFont="1" applyFill="1" applyBorder="1" applyAlignment="1">
      <alignment horizontal="center" vertical="center" wrapText="1"/>
    </xf>
    <xf numFmtId="0" fontId="149" fillId="18" borderId="57" xfId="2" applyFont="1" applyFill="1" applyBorder="1" applyAlignment="1">
      <alignment horizontal="center" vertical="center" wrapText="1"/>
    </xf>
    <xf numFmtId="0" fontId="149" fillId="18" borderId="29" xfId="2" applyFont="1" applyFill="1" applyBorder="1" applyAlignment="1">
      <alignment horizontal="center" vertical="center" wrapText="1"/>
    </xf>
    <xf numFmtId="0" fontId="149" fillId="18" borderId="58" xfId="2" applyFont="1" applyFill="1" applyBorder="1" applyAlignment="1">
      <alignment horizontal="center" vertical="center" wrapText="1"/>
    </xf>
    <xf numFmtId="164" fontId="18" fillId="47" borderId="41" xfId="3" applyNumberFormat="1" applyFont="1" applyFill="1" applyBorder="1" applyAlignment="1">
      <alignment horizontal="left" vertical="center"/>
    </xf>
    <xf numFmtId="164" fontId="18" fillId="47" borderId="42" xfId="3" applyNumberFormat="1" applyFont="1" applyFill="1" applyBorder="1" applyAlignment="1">
      <alignment horizontal="left" vertical="center"/>
    </xf>
    <xf numFmtId="164" fontId="18" fillId="47" borderId="0" xfId="3" applyNumberFormat="1" applyFont="1" applyFill="1" applyBorder="1" applyAlignment="1">
      <alignment horizontal="left" vertical="center"/>
    </xf>
    <xf numFmtId="164" fontId="18" fillId="47" borderId="5" xfId="3" applyNumberFormat="1" applyFont="1" applyFill="1" applyBorder="1" applyAlignment="1">
      <alignment horizontal="left" vertical="center"/>
    </xf>
    <xf numFmtId="0" fontId="1" fillId="48" borderId="5" xfId="2" applyFill="1" applyBorder="1" applyAlignment="1">
      <alignment horizontal="center"/>
    </xf>
    <xf numFmtId="0" fontId="69" fillId="4" borderId="6" xfId="3" applyNumberFormat="1" applyFont="1" applyFill="1" applyBorder="1" applyAlignment="1">
      <alignment horizontal="center" vertical="center" wrapText="1"/>
    </xf>
    <xf numFmtId="0" fontId="69" fillId="4" borderId="0" xfId="3" applyNumberFormat="1" applyFont="1" applyFill="1" applyBorder="1" applyAlignment="1">
      <alignment horizontal="center" vertical="center" wrapText="1"/>
    </xf>
    <xf numFmtId="0" fontId="69" fillId="4" borderId="5" xfId="3" applyNumberFormat="1" applyFont="1" applyFill="1" applyBorder="1" applyAlignment="1">
      <alignment horizontal="center" vertical="center" wrapText="1"/>
    </xf>
    <xf numFmtId="0" fontId="136" fillId="4" borderId="6" xfId="3" applyNumberFormat="1" applyFont="1" applyFill="1" applyBorder="1" applyAlignment="1">
      <alignment horizontal="center" vertical="center" wrapText="1"/>
    </xf>
    <xf numFmtId="0" fontId="136" fillId="4" borderId="0" xfId="3" applyNumberFormat="1" applyFont="1" applyFill="1" applyBorder="1" applyAlignment="1">
      <alignment horizontal="center" vertical="center" wrapText="1"/>
    </xf>
    <xf numFmtId="0" fontId="136" fillId="4" borderId="5" xfId="3" applyNumberFormat="1" applyFont="1" applyFill="1" applyBorder="1" applyAlignment="1">
      <alignment horizontal="center" vertical="center" wrapText="1"/>
    </xf>
    <xf numFmtId="0" fontId="5" fillId="49" borderId="6" xfId="1" applyFont="1" applyFill="1" applyBorder="1" applyAlignment="1">
      <alignment horizontal="left" vertical="center"/>
    </xf>
    <xf numFmtId="0" fontId="5" fillId="49" borderId="0" xfId="1" applyFont="1" applyFill="1" applyBorder="1" applyAlignment="1">
      <alignment horizontal="left" vertical="center"/>
    </xf>
    <xf numFmtId="0" fontId="5" fillId="49" borderId="5" xfId="1" applyFont="1" applyFill="1" applyBorder="1" applyAlignment="1">
      <alignment horizontal="left" vertical="center"/>
    </xf>
    <xf numFmtId="0" fontId="137" fillId="18" borderId="0" xfId="1" applyFont="1" applyFill="1" applyBorder="1" applyAlignment="1">
      <alignment horizontal="center" vertical="center"/>
    </xf>
    <xf numFmtId="164" fontId="46" fillId="25" borderId="0" xfId="3" applyNumberFormat="1" applyFont="1" applyFill="1" applyBorder="1" applyAlignment="1">
      <alignment horizontal="center" vertical="center"/>
    </xf>
    <xf numFmtId="0" fontId="5" fillId="50" borderId="6" xfId="1" applyFont="1" applyFill="1" applyBorder="1" applyAlignment="1">
      <alignment horizontal="center" vertical="center"/>
    </xf>
    <xf numFmtId="0" fontId="5" fillId="50" borderId="0" xfId="1" applyFont="1" applyFill="1" applyBorder="1" applyAlignment="1">
      <alignment horizontal="center" vertical="center"/>
    </xf>
    <xf numFmtId="0" fontId="5" fillId="50" borderId="5" xfId="1" applyFont="1" applyFill="1" applyBorder="1" applyAlignment="1">
      <alignment horizontal="center" vertical="center"/>
    </xf>
    <xf numFmtId="0" fontId="154" fillId="18" borderId="0" xfId="1" applyFont="1" applyFill="1" applyBorder="1" applyAlignment="1">
      <alignment horizontal="center" vertical="center"/>
    </xf>
    <xf numFmtId="0" fontId="20" fillId="29" borderId="9" xfId="4" applyFont="1" applyFill="1" applyBorder="1" applyAlignment="1">
      <alignment horizontal="center" vertical="center"/>
    </xf>
    <xf numFmtId="0" fontId="20" fillId="29" borderId="0" xfId="4" applyFont="1" applyFill="1" applyBorder="1" applyAlignment="1">
      <alignment horizontal="center" vertical="center"/>
    </xf>
    <xf numFmtId="0" fontId="69" fillId="7" borderId="53" xfId="1" applyFont="1" applyFill="1" applyBorder="1" applyAlignment="1" applyProtection="1">
      <alignment horizontal="center" vertical="center" wrapText="1"/>
      <protection hidden="1"/>
    </xf>
    <xf numFmtId="0" fontId="69" fillId="7" borderId="9" xfId="1" applyFont="1" applyFill="1" applyBorder="1" applyAlignment="1" applyProtection="1">
      <alignment horizontal="center" vertical="center" wrapText="1"/>
      <protection hidden="1"/>
    </xf>
    <xf numFmtId="0" fontId="69" fillId="7" borderId="6" xfId="1" applyFont="1" applyFill="1" applyBorder="1" applyAlignment="1" applyProtection="1">
      <alignment horizontal="center" vertical="center" wrapText="1"/>
      <protection hidden="1"/>
    </xf>
    <xf numFmtId="0" fontId="69" fillId="7" borderId="0" xfId="1" applyFont="1" applyFill="1" applyBorder="1" applyAlignment="1" applyProtection="1">
      <alignment horizontal="center" vertical="center" wrapText="1"/>
      <protection hidden="1"/>
    </xf>
    <xf numFmtId="0" fontId="68" fillId="7" borderId="8" xfId="4" applyNumberFormat="1" applyFont="1" applyFill="1" applyBorder="1" applyAlignment="1">
      <alignment horizontal="center" vertical="center"/>
    </xf>
    <xf numFmtId="0" fontId="68" fillId="7" borderId="5" xfId="4" applyNumberFormat="1" applyFont="1" applyFill="1" applyBorder="1" applyAlignment="1">
      <alignment horizontal="center" vertical="center"/>
    </xf>
    <xf numFmtId="0" fontId="46" fillId="25" borderId="325" xfId="2" applyFont="1" applyFill="1" applyBorder="1" applyAlignment="1">
      <alignment horizontal="center" vertical="center"/>
    </xf>
    <xf numFmtId="0" fontId="46" fillId="25" borderId="338" xfId="2" applyFont="1" applyFill="1" applyBorder="1" applyAlignment="1">
      <alignment horizontal="center" vertical="center"/>
    </xf>
    <xf numFmtId="0" fontId="29" fillId="0" borderId="144" xfId="4" applyNumberFormat="1" applyFont="1" applyFill="1" applyBorder="1" applyAlignment="1" applyProtection="1">
      <alignment horizontal="center" vertical="center"/>
      <protection locked="0"/>
    </xf>
    <xf numFmtId="0" fontId="29" fillId="0" borderId="0" xfId="4" applyNumberFormat="1" applyFont="1" applyFill="1" applyBorder="1" applyAlignment="1" applyProtection="1">
      <alignment horizontal="center" vertical="center"/>
      <protection locked="0"/>
    </xf>
    <xf numFmtId="0" fontId="29" fillId="0" borderId="180" xfId="4" applyNumberFormat="1" applyFont="1" applyFill="1" applyBorder="1" applyAlignment="1" applyProtection="1">
      <alignment horizontal="center" vertical="center"/>
      <protection locked="0"/>
    </xf>
    <xf numFmtId="0" fontId="5" fillId="4" borderId="0" xfId="4" applyNumberFormat="1" applyFont="1" applyFill="1" applyBorder="1" applyAlignment="1">
      <alignment horizontal="center" vertical="center"/>
    </xf>
    <xf numFmtId="0" fontId="137" fillId="18" borderId="4" xfId="1" applyFont="1" applyFill="1" applyBorder="1" applyAlignment="1">
      <alignment horizontal="center" vertical="center"/>
    </xf>
    <xf numFmtId="180" fontId="132" fillId="4" borderId="6" xfId="13" applyNumberFormat="1" applyFont="1" applyFill="1" applyBorder="1" applyAlignment="1" applyProtection="1">
      <alignment horizontal="center" vertical="center"/>
    </xf>
    <xf numFmtId="180" fontId="132" fillId="4" borderId="0" xfId="13" applyNumberFormat="1" applyFont="1" applyFill="1" applyBorder="1" applyAlignment="1" applyProtection="1">
      <alignment horizontal="center" vertical="center"/>
    </xf>
    <xf numFmtId="181" fontId="132" fillId="4" borderId="0" xfId="13" applyNumberFormat="1" applyFont="1" applyFill="1" applyBorder="1" applyAlignment="1" applyProtection="1">
      <alignment horizontal="center" vertical="center"/>
    </xf>
    <xf numFmtId="180" fontId="132" fillId="4" borderId="6" xfId="13" applyNumberFormat="1" applyFont="1" applyFill="1" applyBorder="1" applyAlignment="1" applyProtection="1">
      <alignment horizontal="left" vertical="center" wrapText="1"/>
    </xf>
    <xf numFmtId="180" fontId="132" fillId="4" borderId="0" xfId="13" applyNumberFormat="1" applyFont="1" applyFill="1" applyBorder="1" applyAlignment="1" applyProtection="1">
      <alignment horizontal="left" vertical="center" wrapText="1"/>
    </xf>
    <xf numFmtId="180" fontId="132" fillId="4" borderId="5" xfId="13" applyNumberFormat="1" applyFont="1" applyFill="1" applyBorder="1" applyAlignment="1" applyProtection="1">
      <alignment horizontal="left" vertical="center" wrapText="1"/>
    </xf>
    <xf numFmtId="180" fontId="132" fillId="4" borderId="150" xfId="13" applyNumberFormat="1" applyFont="1" applyFill="1" applyBorder="1" applyAlignment="1" applyProtection="1">
      <alignment horizontal="left" vertical="center" wrapText="1"/>
    </xf>
    <xf numFmtId="180" fontId="132" fillId="4" borderId="1" xfId="13" applyNumberFormat="1" applyFont="1" applyFill="1" applyBorder="1" applyAlignment="1" applyProtection="1">
      <alignment horizontal="left" vertical="center" wrapText="1"/>
    </xf>
    <xf numFmtId="180" fontId="132" fillId="4" borderId="149" xfId="13" applyNumberFormat="1" applyFont="1" applyFill="1" applyBorder="1" applyAlignment="1" applyProtection="1">
      <alignment horizontal="left" vertical="center" wrapText="1"/>
    </xf>
    <xf numFmtId="0" fontId="103" fillId="32" borderId="4" xfId="1" applyFont="1" applyFill="1" applyBorder="1" applyAlignment="1" applyProtection="1">
      <alignment horizontal="center" vertical="center"/>
      <protection hidden="1"/>
    </xf>
    <xf numFmtId="180" fontId="46" fillId="21" borderId="6" xfId="13" applyNumberFormat="1" applyFont="1" applyFill="1" applyBorder="1" applyAlignment="1" applyProtection="1">
      <alignment horizontal="center" vertical="center"/>
    </xf>
    <xf numFmtId="180" fontId="46" fillId="21" borderId="0" xfId="13" applyNumberFormat="1" applyFont="1" applyFill="1" applyBorder="1" applyAlignment="1" applyProtection="1">
      <alignment horizontal="center" vertical="center"/>
    </xf>
    <xf numFmtId="181" fontId="105" fillId="2" borderId="0" xfId="13" applyNumberFormat="1" applyFont="1" applyFill="1" applyBorder="1" applyAlignment="1" applyProtection="1">
      <alignment horizontal="center" vertical="center"/>
    </xf>
    <xf numFmtId="2" fontId="13" fillId="4" borderId="0" xfId="13" applyNumberFormat="1" applyFont="1" applyFill="1" applyBorder="1" applyAlignment="1" applyProtection="1">
      <alignment horizontal="center" vertical="center"/>
    </xf>
    <xf numFmtId="0" fontId="131" fillId="4" borderId="0" xfId="13" applyFont="1" applyFill="1" applyBorder="1" applyAlignment="1" applyProtection="1">
      <alignment horizontal="left" vertical="center"/>
    </xf>
    <xf numFmtId="0" fontId="131" fillId="4" borderId="5" xfId="13" applyFont="1" applyFill="1" applyBorder="1" applyAlignment="1" applyProtection="1">
      <alignment horizontal="left" vertical="center"/>
    </xf>
    <xf numFmtId="180" fontId="13" fillId="46" borderId="6" xfId="13" applyNumberFormat="1" applyFont="1" applyFill="1" applyBorder="1" applyAlignment="1" applyProtection="1">
      <alignment horizontal="center" vertical="center"/>
    </xf>
    <xf numFmtId="180" fontId="13" fillId="46" borderId="0" xfId="13" applyNumberFormat="1" applyFont="1" applyFill="1" applyBorder="1" applyAlignment="1" applyProtection="1">
      <alignment horizontal="center" vertical="center"/>
    </xf>
    <xf numFmtId="180" fontId="13" fillId="46" borderId="5" xfId="13" applyNumberFormat="1" applyFont="1" applyFill="1" applyBorder="1" applyAlignment="1" applyProtection="1">
      <alignment horizontal="center" vertical="center"/>
    </xf>
    <xf numFmtId="164" fontId="73" fillId="4" borderId="144" xfId="13" applyNumberFormat="1" applyFont="1" applyFill="1" applyBorder="1" applyAlignment="1" applyProtection="1">
      <alignment horizontal="center" vertical="center"/>
    </xf>
    <xf numFmtId="164" fontId="73" fillId="4" borderId="0" xfId="13" applyNumberFormat="1" applyFont="1" applyFill="1" applyBorder="1" applyAlignment="1" applyProtection="1">
      <alignment horizontal="center" vertical="center"/>
    </xf>
    <xf numFmtId="0" fontId="73" fillId="4" borderId="0" xfId="13" applyNumberFormat="1" applyFont="1" applyFill="1" applyBorder="1" applyAlignment="1" applyProtection="1">
      <alignment horizontal="center" vertical="center"/>
    </xf>
    <xf numFmtId="0" fontId="5" fillId="4" borderId="0" xfId="13" applyFont="1" applyFill="1" applyBorder="1" applyAlignment="1" applyProtection="1">
      <alignment horizontal="right" vertical="center"/>
    </xf>
    <xf numFmtId="0" fontId="130" fillId="21" borderId="53" xfId="12" applyFont="1" applyFill="1" applyBorder="1" applyAlignment="1">
      <alignment horizontal="center" vertical="center" wrapText="1"/>
    </xf>
    <xf numFmtId="0" fontId="130" fillId="21" borderId="9" xfId="12" applyFont="1" applyFill="1" applyBorder="1" applyAlignment="1">
      <alignment horizontal="center" vertical="center" wrapText="1"/>
    </xf>
    <xf numFmtId="0" fontId="130" fillId="21" borderId="6" xfId="12" applyFont="1" applyFill="1" applyBorder="1" applyAlignment="1">
      <alignment horizontal="center" vertical="center" wrapText="1"/>
    </xf>
    <xf numFmtId="0" fontId="130" fillId="21" borderId="0" xfId="12" applyFont="1" applyFill="1" applyBorder="1" applyAlignment="1">
      <alignment horizontal="center" vertical="center" wrapText="1"/>
    </xf>
    <xf numFmtId="0" fontId="106" fillId="2" borderId="9" xfId="13" applyFont="1" applyFill="1" applyBorder="1" applyAlignment="1" applyProtection="1">
      <alignment horizontal="center" vertical="center" wrapText="1"/>
    </xf>
    <xf numFmtId="0" fontId="106" fillId="2" borderId="0" xfId="13" applyFont="1" applyFill="1" applyBorder="1" applyAlignment="1" applyProtection="1">
      <alignment horizontal="center" vertical="center" wrapText="1"/>
    </xf>
    <xf numFmtId="0" fontId="91" fillId="4" borderId="9" xfId="13" applyFont="1" applyFill="1" applyBorder="1" applyAlignment="1" applyProtection="1">
      <alignment horizontal="center" vertical="center" wrapText="1"/>
    </xf>
    <xf numFmtId="0" fontId="91" fillId="4" borderId="0" xfId="13" applyFont="1" applyFill="1" applyBorder="1" applyAlignment="1" applyProtection="1">
      <alignment horizontal="center" vertical="center" wrapText="1"/>
    </xf>
    <xf numFmtId="0" fontId="102" fillId="42" borderId="9" xfId="12" applyFont="1" applyFill="1" applyBorder="1" applyAlignment="1">
      <alignment horizontal="center" vertical="center"/>
    </xf>
    <xf numFmtId="0" fontId="102" fillId="42" borderId="8" xfId="12" applyFont="1" applyFill="1" applyBorder="1" applyAlignment="1">
      <alignment horizontal="center" vertical="center"/>
    </xf>
    <xf numFmtId="0" fontId="128" fillId="4" borderId="144" xfId="12" applyFont="1" applyFill="1" applyBorder="1" applyAlignment="1">
      <alignment horizontal="center" vertical="center" wrapText="1"/>
    </xf>
    <xf numFmtId="0" fontId="128" fillId="4" borderId="0" xfId="12" applyFont="1" applyFill="1" applyBorder="1" applyAlignment="1">
      <alignment horizontal="center" vertical="center" wrapText="1"/>
    </xf>
    <xf numFmtId="0" fontId="128" fillId="4" borderId="0" xfId="13" applyFont="1" applyFill="1" applyBorder="1" applyAlignment="1" applyProtection="1">
      <alignment horizontal="center" vertical="center" wrapText="1"/>
    </xf>
    <xf numFmtId="0" fontId="5" fillId="4" borderId="0" xfId="13" applyFont="1" applyFill="1" applyBorder="1" applyAlignment="1" applyProtection="1">
      <alignment horizontal="center" vertical="center"/>
    </xf>
    <xf numFmtId="0" fontId="5" fillId="4" borderId="180" xfId="13" applyFont="1" applyFill="1" applyBorder="1" applyAlignment="1" applyProtection="1">
      <alignment horizontal="center" wrapText="1"/>
    </xf>
    <xf numFmtId="0" fontId="43" fillId="45" borderId="144" xfId="12" applyFont="1" applyFill="1" applyBorder="1" applyAlignment="1">
      <alignment horizontal="center" vertical="center"/>
    </xf>
    <xf numFmtId="0" fontId="43" fillId="45" borderId="0" xfId="12" applyFont="1" applyFill="1" applyBorder="1" applyAlignment="1">
      <alignment horizontal="center" vertical="center"/>
    </xf>
    <xf numFmtId="0" fontId="43" fillId="45" borderId="180" xfId="12" applyFont="1" applyFill="1" applyBorder="1" applyAlignment="1">
      <alignment horizontal="center" vertical="center"/>
    </xf>
    <xf numFmtId="0" fontId="43" fillId="45" borderId="0" xfId="12" applyFont="1" applyFill="1" applyBorder="1" applyAlignment="1">
      <alignment horizontal="left" vertical="center"/>
    </xf>
    <xf numFmtId="0" fontId="43" fillId="45" borderId="180" xfId="12" applyFont="1" applyFill="1" applyBorder="1" applyAlignment="1">
      <alignment horizontal="left" vertical="center"/>
    </xf>
    <xf numFmtId="0" fontId="127" fillId="42" borderId="151" xfId="12" applyFont="1" applyFill="1" applyBorder="1" applyAlignment="1">
      <alignment horizontal="center" vertical="center"/>
    </xf>
    <xf numFmtId="0" fontId="127" fillId="42" borderId="3" xfId="12" applyFont="1" applyFill="1" applyBorder="1" applyAlignment="1">
      <alignment horizontal="center" vertical="center"/>
    </xf>
    <xf numFmtId="0" fontId="127" fillId="42" borderId="183" xfId="12" applyFont="1" applyFill="1" applyBorder="1" applyAlignment="1">
      <alignment horizontal="center" vertical="center"/>
    </xf>
    <xf numFmtId="0" fontId="43" fillId="42" borderId="144" xfId="12" applyFont="1" applyFill="1" applyBorder="1" applyAlignment="1">
      <alignment horizontal="center" vertical="center"/>
    </xf>
    <xf numFmtId="0" fontId="43" fillId="42" borderId="0" xfId="12" applyFont="1" applyFill="1" applyBorder="1" applyAlignment="1">
      <alignment horizontal="center" vertical="center"/>
    </xf>
    <xf numFmtId="0" fontId="43" fillId="42" borderId="180" xfId="12" applyFont="1" applyFill="1" applyBorder="1" applyAlignment="1">
      <alignment horizontal="center" vertical="center"/>
    </xf>
    <xf numFmtId="0" fontId="43" fillId="42" borderId="0" xfId="12" applyFont="1" applyFill="1" applyBorder="1" applyAlignment="1">
      <alignment horizontal="left" vertical="center"/>
    </xf>
    <xf numFmtId="0" fontId="43" fillId="42" borderId="180" xfId="12" applyFont="1" applyFill="1" applyBorder="1" applyAlignment="1">
      <alignment horizontal="left" vertical="center"/>
    </xf>
    <xf numFmtId="0" fontId="5" fillId="37" borderId="144" xfId="12" applyFont="1" applyFill="1" applyBorder="1" applyAlignment="1">
      <alignment horizontal="center" vertical="center"/>
    </xf>
    <xf numFmtId="0" fontId="5" fillId="37" borderId="0" xfId="12" applyFont="1" applyFill="1" applyBorder="1" applyAlignment="1">
      <alignment horizontal="center" vertical="center"/>
    </xf>
    <xf numFmtId="0" fontId="5" fillId="37" borderId="180" xfId="12" applyFont="1" applyFill="1" applyBorder="1" applyAlignment="1">
      <alignment horizontal="center" vertical="center"/>
    </xf>
    <xf numFmtId="170" fontId="44" fillId="22" borderId="0" xfId="4" applyNumberFormat="1" applyFont="1" applyFill="1" applyBorder="1" applyAlignment="1">
      <alignment horizontal="center" vertical="center"/>
    </xf>
    <xf numFmtId="170" fontId="44" fillId="22" borderId="5" xfId="4" applyNumberFormat="1" applyFont="1" applyFill="1" applyBorder="1" applyAlignment="1">
      <alignment horizontal="center" vertical="center"/>
    </xf>
    <xf numFmtId="0" fontId="13" fillId="22" borderId="6" xfId="2" applyFont="1" applyFill="1" applyBorder="1" applyAlignment="1">
      <alignment horizontal="right" vertical="center"/>
    </xf>
    <xf numFmtId="1" fontId="13" fillId="22" borderId="0" xfId="2" applyNumberFormat="1" applyFont="1" applyFill="1" applyBorder="1" applyAlignment="1">
      <alignment horizontal="center" vertical="center"/>
    </xf>
    <xf numFmtId="0" fontId="44" fillId="22" borderId="0" xfId="2" applyFont="1" applyFill="1" applyBorder="1" applyAlignment="1">
      <alignment horizontal="center" vertical="center"/>
    </xf>
    <xf numFmtId="0" fontId="13" fillId="43" borderId="0" xfId="2" applyFont="1" applyFill="1" applyBorder="1" applyAlignment="1">
      <alignment horizontal="center" vertical="center"/>
    </xf>
    <xf numFmtId="0" fontId="82" fillId="22" borderId="0" xfId="2" applyFont="1" applyFill="1" applyBorder="1" applyAlignment="1">
      <alignment horizontal="center" vertical="center"/>
    </xf>
    <xf numFmtId="1" fontId="13" fillId="22" borderId="0" xfId="4" applyNumberFormat="1" applyFont="1" applyFill="1" applyBorder="1" applyAlignment="1">
      <alignment horizontal="center" vertical="center"/>
    </xf>
    <xf numFmtId="174" fontId="124" fillId="2" borderId="6" xfId="4" applyNumberFormat="1" applyFont="1" applyFill="1" applyBorder="1" applyAlignment="1">
      <alignment horizontal="center" vertical="center" wrapText="1"/>
    </xf>
    <xf numFmtId="174" fontId="124" fillId="2" borderId="0" xfId="4" applyNumberFormat="1" applyFont="1" applyFill="1" applyBorder="1" applyAlignment="1">
      <alignment horizontal="center" vertical="center" wrapText="1"/>
    </xf>
    <xf numFmtId="174" fontId="73" fillId="4" borderId="0" xfId="4" applyNumberFormat="1" applyFont="1" applyFill="1" applyBorder="1" applyAlignment="1">
      <alignment horizontal="right" vertical="center" wrapText="1"/>
    </xf>
    <xf numFmtId="170" fontId="47" fillId="25" borderId="0" xfId="4" applyNumberFormat="1" applyFont="1" applyFill="1" applyBorder="1" applyAlignment="1">
      <alignment horizontal="center" vertical="center"/>
    </xf>
    <xf numFmtId="174" fontId="125" fillId="4" borderId="0" xfId="4" applyNumberFormat="1" applyFont="1" applyFill="1" applyBorder="1" applyAlignment="1">
      <alignment horizontal="right" vertical="center" wrapText="1"/>
    </xf>
    <xf numFmtId="170" fontId="46" fillId="25" borderId="5" xfId="4" applyNumberFormat="1" applyFont="1" applyFill="1" applyBorder="1" applyAlignment="1">
      <alignment horizontal="center" vertical="center"/>
    </xf>
    <xf numFmtId="0" fontId="5" fillId="43" borderId="6" xfId="2" applyFont="1" applyFill="1" applyBorder="1" applyAlignment="1">
      <alignment horizontal="right" vertical="center" wrapText="1"/>
    </xf>
    <xf numFmtId="0" fontId="5" fillId="43" borderId="0" xfId="2" applyFont="1" applyFill="1" applyBorder="1" applyAlignment="1">
      <alignment horizontal="right" vertical="center" wrapText="1"/>
    </xf>
    <xf numFmtId="2" fontId="13" fillId="43" borderId="0" xfId="2" applyNumberFormat="1" applyFont="1" applyFill="1" applyBorder="1" applyAlignment="1">
      <alignment horizontal="center" vertical="center"/>
    </xf>
    <xf numFmtId="174" fontId="120" fillId="4" borderId="0" xfId="4" applyNumberFormat="1" applyFont="1" applyFill="1" applyBorder="1" applyAlignment="1">
      <alignment horizontal="right" vertical="center" wrapText="1"/>
    </xf>
    <xf numFmtId="0" fontId="51" fillId="7" borderId="53" xfId="2" applyFont="1" applyFill="1" applyBorder="1" applyAlignment="1">
      <alignment horizontal="center" vertical="center"/>
    </xf>
    <xf numFmtId="0" fontId="51" fillId="7" borderId="9" xfId="2" applyFont="1" applyFill="1" applyBorder="1" applyAlignment="1">
      <alignment horizontal="center" vertical="center"/>
    </xf>
    <xf numFmtId="0" fontId="51" fillId="7" borderId="8" xfId="2" applyFont="1" applyFill="1" applyBorder="1" applyAlignment="1">
      <alignment horizontal="center" vertical="center"/>
    </xf>
    <xf numFmtId="0" fontId="26" fillId="4" borderId="6" xfId="2" applyFont="1" applyFill="1" applyBorder="1" applyAlignment="1">
      <alignment horizontal="left" vertical="center" wrapText="1"/>
    </xf>
    <xf numFmtId="0" fontId="26" fillId="4" borderId="0" xfId="2" applyFont="1" applyFill="1" applyBorder="1" applyAlignment="1">
      <alignment horizontal="left" vertical="center" wrapText="1"/>
    </xf>
    <xf numFmtId="0" fontId="26" fillId="4" borderId="5" xfId="2" applyFont="1" applyFill="1" applyBorder="1" applyAlignment="1">
      <alignment horizontal="left" vertical="center" wrapText="1"/>
    </xf>
    <xf numFmtId="0" fontId="26" fillId="4" borderId="24" xfId="2" applyFont="1" applyFill="1" applyBorder="1" applyAlignment="1">
      <alignment horizontal="left" vertical="center" wrapText="1"/>
    </xf>
    <xf numFmtId="0" fontId="26" fillId="4" borderId="23" xfId="2" applyFont="1" applyFill="1" applyBorder="1" applyAlignment="1">
      <alignment horizontal="left" vertical="center" wrapText="1"/>
    </xf>
    <xf numFmtId="0" fontId="26" fillId="4" borderId="22" xfId="2" applyFont="1" applyFill="1" applyBorder="1" applyAlignment="1">
      <alignment horizontal="left" vertical="center" wrapText="1"/>
    </xf>
    <xf numFmtId="0" fontId="43" fillId="42" borderId="6" xfId="2" applyFont="1" applyFill="1" applyBorder="1" applyAlignment="1">
      <alignment horizontal="center" vertical="center"/>
    </xf>
    <xf numFmtId="174" fontId="91" fillId="4" borderId="0" xfId="4" applyNumberFormat="1" applyFont="1" applyFill="1" applyBorder="1" applyAlignment="1">
      <alignment horizontal="right" vertical="center" wrapText="1"/>
    </xf>
    <xf numFmtId="0" fontId="1" fillId="4" borderId="144" xfId="2" applyFill="1" applyBorder="1" applyAlignment="1">
      <alignment horizontal="right" vertical="center"/>
    </xf>
    <xf numFmtId="0" fontId="1" fillId="4" borderId="0" xfId="2" applyFill="1" applyBorder="1" applyAlignment="1">
      <alignment horizontal="right" vertical="center"/>
    </xf>
    <xf numFmtId="0" fontId="70" fillId="42" borderId="53" xfId="12" applyFont="1" applyFill="1" applyBorder="1" applyAlignment="1">
      <alignment horizontal="center" vertical="center" wrapText="1"/>
    </xf>
    <xf numFmtId="0" fontId="70" fillId="42" borderId="9" xfId="12" applyFont="1" applyFill="1" applyBorder="1" applyAlignment="1">
      <alignment horizontal="center" vertical="center" wrapText="1"/>
    </xf>
    <xf numFmtId="0" fontId="70" fillId="42" borderId="8" xfId="12" applyFont="1" applyFill="1" applyBorder="1" applyAlignment="1">
      <alignment horizontal="center" vertical="center" wrapText="1"/>
    </xf>
    <xf numFmtId="0" fontId="9" fillId="4" borderId="6" xfId="12" applyFont="1" applyFill="1" applyBorder="1" applyAlignment="1">
      <alignment horizontal="center" vertical="center" wrapText="1"/>
    </xf>
    <xf numFmtId="0" fontId="9" fillId="4" borderId="0" xfId="12" applyFont="1" applyFill="1" applyBorder="1" applyAlignment="1">
      <alignment horizontal="center" vertical="center" wrapText="1"/>
    </xf>
    <xf numFmtId="0" fontId="9" fillId="4" borderId="5" xfId="12" applyFont="1" applyFill="1" applyBorder="1" applyAlignment="1">
      <alignment horizontal="center" vertical="center" wrapText="1"/>
    </xf>
    <xf numFmtId="0" fontId="51" fillId="22" borderId="6" xfId="12" applyFont="1" applyFill="1" applyBorder="1" applyAlignment="1">
      <alignment horizontal="center" vertical="center"/>
    </xf>
    <xf numFmtId="0" fontId="51" fillId="22" borderId="0" xfId="12" applyFont="1" applyFill="1" applyBorder="1" applyAlignment="1">
      <alignment horizontal="center" vertical="center"/>
    </xf>
    <xf numFmtId="0" fontId="51" fillId="22" borderId="5" xfId="12" applyFont="1" applyFill="1" applyBorder="1" applyAlignment="1">
      <alignment horizontal="center" vertical="center"/>
    </xf>
    <xf numFmtId="0" fontId="116" fillId="4" borderId="6" xfId="13" applyFont="1" applyFill="1" applyBorder="1" applyAlignment="1">
      <alignment horizontal="center" vertical="center" wrapText="1"/>
    </xf>
    <xf numFmtId="0" fontId="116" fillId="4" borderId="0" xfId="13" applyFont="1" applyFill="1" applyBorder="1" applyAlignment="1">
      <alignment horizontal="center" vertical="center" wrapText="1"/>
    </xf>
    <xf numFmtId="0" fontId="116" fillId="4" borderId="5" xfId="13" applyFont="1" applyFill="1" applyBorder="1" applyAlignment="1">
      <alignment horizontal="center" vertical="center" wrapText="1"/>
    </xf>
    <xf numFmtId="0" fontId="117" fillId="25" borderId="6" xfId="12" applyFont="1" applyFill="1" applyBorder="1" applyAlignment="1">
      <alignment horizontal="center" vertical="center"/>
    </xf>
    <xf numFmtId="0" fontId="117" fillId="25" borderId="0" xfId="12" applyFont="1" applyFill="1" applyBorder="1" applyAlignment="1">
      <alignment horizontal="center" vertical="center"/>
    </xf>
    <xf numFmtId="0" fontId="117" fillId="25" borderId="5" xfId="12" applyFont="1" applyFill="1" applyBorder="1" applyAlignment="1">
      <alignment horizontal="center" vertical="center"/>
    </xf>
    <xf numFmtId="0" fontId="3" fillId="4" borderId="144" xfId="2" applyFont="1" applyFill="1" applyBorder="1" applyAlignment="1">
      <alignment horizontal="right" vertical="center"/>
    </xf>
    <xf numFmtId="0" fontId="3" fillId="4" borderId="0" xfId="2" applyFont="1" applyFill="1" applyBorder="1" applyAlignment="1">
      <alignment horizontal="right" vertical="center"/>
    </xf>
    <xf numFmtId="170" fontId="4" fillId="4" borderId="0" xfId="2" applyNumberFormat="1" applyFont="1" applyFill="1" applyBorder="1" applyAlignment="1" applyProtection="1">
      <alignment horizontal="center" vertical="center"/>
      <protection locked="0"/>
    </xf>
    <xf numFmtId="170" fontId="91" fillId="4" borderId="0" xfId="2" applyNumberFormat="1" applyFont="1" applyFill="1" applyBorder="1" applyAlignment="1" applyProtection="1">
      <alignment horizontal="center" vertical="center"/>
      <protection locked="0"/>
    </xf>
    <xf numFmtId="170" fontId="91" fillId="4" borderId="180" xfId="2" applyNumberFormat="1" applyFont="1" applyFill="1" applyBorder="1" applyAlignment="1" applyProtection="1">
      <alignment horizontal="center" vertical="center"/>
      <protection locked="0"/>
    </xf>
    <xf numFmtId="0" fontId="91" fillId="4" borderId="144" xfId="2" applyFont="1" applyFill="1" applyBorder="1" applyAlignment="1">
      <alignment horizontal="center" vertical="center" wrapText="1"/>
    </xf>
    <xf numFmtId="0" fontId="91" fillId="4" borderId="0" xfId="2" applyFont="1" applyFill="1" applyBorder="1" applyAlignment="1">
      <alignment horizontal="center" vertical="center" wrapText="1"/>
    </xf>
    <xf numFmtId="0" fontId="91" fillId="4" borderId="0" xfId="2" applyFont="1" applyFill="1" applyBorder="1" applyAlignment="1">
      <alignment horizontal="center" vertical="center"/>
    </xf>
    <xf numFmtId="170" fontId="58" fillId="4" borderId="0" xfId="2" applyNumberFormat="1" applyFont="1" applyFill="1" applyBorder="1" applyAlignment="1" applyProtection="1">
      <alignment horizontal="center" vertical="center" wrapText="1"/>
      <protection locked="0"/>
    </xf>
    <xf numFmtId="170" fontId="58" fillId="4" borderId="180" xfId="2" applyNumberFormat="1" applyFont="1" applyFill="1" applyBorder="1" applyAlignment="1" applyProtection="1">
      <alignment horizontal="center" vertical="center" wrapText="1"/>
      <protection locked="0"/>
    </xf>
    <xf numFmtId="0" fontId="228" fillId="4" borderId="0" xfId="8" applyFont="1" applyFill="1" applyAlignment="1">
      <alignment horizontal="left" vertical="center"/>
    </xf>
    <xf numFmtId="0" fontId="13" fillId="7" borderId="151" xfId="2" applyFont="1" applyFill="1" applyBorder="1" applyAlignment="1">
      <alignment horizontal="center" vertical="center"/>
    </xf>
    <xf numFmtId="0" fontId="13" fillId="7" borderId="3" xfId="2" applyFont="1" applyFill="1" applyBorder="1" applyAlignment="1">
      <alignment horizontal="center" vertical="center"/>
    </xf>
    <xf numFmtId="0" fontId="13" fillId="7" borderId="183" xfId="2" applyFont="1" applyFill="1" applyBorder="1" applyAlignment="1">
      <alignment horizontal="center" vertical="center"/>
    </xf>
    <xf numFmtId="0" fontId="3" fillId="4" borderId="40" xfId="0" applyFont="1" applyFill="1" applyBorder="1" applyAlignment="1">
      <alignment horizontal="center" vertical="center"/>
    </xf>
    <xf numFmtId="0" fontId="3" fillId="4" borderId="42" xfId="0" applyFont="1" applyFill="1" applyBorder="1" applyAlignment="1">
      <alignment horizontal="center" vertical="center"/>
    </xf>
    <xf numFmtId="0" fontId="0" fillId="4" borderId="6" xfId="0" applyFont="1" applyFill="1" applyBorder="1" applyAlignment="1">
      <alignment horizontal="center"/>
    </xf>
    <xf numFmtId="0" fontId="0" fillId="4" borderId="5" xfId="0" applyFont="1" applyFill="1" applyBorder="1" applyAlignment="1">
      <alignment horizontal="center"/>
    </xf>
    <xf numFmtId="0" fontId="3" fillId="4" borderId="40" xfId="0" applyFont="1" applyFill="1" applyBorder="1" applyAlignment="1">
      <alignment horizontal="center"/>
    </xf>
    <xf numFmtId="0" fontId="3" fillId="4" borderId="42" xfId="0" applyFont="1" applyFill="1" applyBorder="1" applyAlignment="1">
      <alignment horizontal="center"/>
    </xf>
    <xf numFmtId="0" fontId="52" fillId="0" borderId="159" xfId="0" applyFont="1" applyBorder="1" applyAlignment="1">
      <alignment horizontal="center"/>
    </xf>
    <xf numFmtId="0" fontId="52" fillId="0" borderId="160" xfId="0" applyFont="1" applyBorder="1" applyAlignment="1">
      <alignment horizontal="center"/>
    </xf>
    <xf numFmtId="0" fontId="5" fillId="4" borderId="53" xfId="0" applyFont="1" applyFill="1" applyBorder="1" applyAlignment="1">
      <alignment horizontal="center" wrapText="1"/>
    </xf>
    <xf numFmtId="0" fontId="5" fillId="4" borderId="8" xfId="0" applyFont="1" applyFill="1" applyBorder="1" applyAlignment="1">
      <alignment horizontal="center" wrapText="1"/>
    </xf>
    <xf numFmtId="0" fontId="5" fillId="4" borderId="6" xfId="0" applyFont="1" applyFill="1" applyBorder="1" applyAlignment="1">
      <alignment horizontal="center" wrapText="1"/>
    </xf>
    <xf numFmtId="0" fontId="5" fillId="4" borderId="5" xfId="0" applyFont="1" applyFill="1" applyBorder="1" applyAlignment="1">
      <alignment horizontal="center" wrapText="1"/>
    </xf>
    <xf numFmtId="0" fontId="93" fillId="4" borderId="6" xfId="0" applyFont="1" applyFill="1" applyBorder="1" applyAlignment="1">
      <alignment horizontal="center"/>
    </xf>
    <xf numFmtId="0" fontId="93" fillId="4" borderId="5" xfId="0" applyFont="1" applyFill="1" applyBorder="1" applyAlignment="1">
      <alignment horizontal="center"/>
    </xf>
    <xf numFmtId="0" fontId="0" fillId="4" borderId="159" xfId="0" applyFill="1" applyBorder="1" applyAlignment="1">
      <alignment horizontal="center"/>
    </xf>
    <xf numFmtId="0" fontId="0" fillId="4" borderId="160" xfId="0" applyFill="1" applyBorder="1" applyAlignment="1">
      <alignment horizontal="center"/>
    </xf>
    <xf numFmtId="0" fontId="3" fillId="4" borderId="53" xfId="2" applyFont="1" applyFill="1" applyBorder="1" applyAlignment="1">
      <alignment horizontal="center" vertical="center" wrapText="1"/>
    </xf>
    <xf numFmtId="0" fontId="3" fillId="4" borderId="8" xfId="2" applyFont="1" applyFill="1" applyBorder="1" applyAlignment="1">
      <alignment horizontal="center" vertical="center" wrapText="1"/>
    </xf>
    <xf numFmtId="0" fontId="3" fillId="4" borderId="6" xfId="2" applyFont="1" applyFill="1" applyBorder="1" applyAlignment="1">
      <alignment horizontal="center" vertical="center" wrapText="1"/>
    </xf>
    <xf numFmtId="0" fontId="3" fillId="4" borderId="5" xfId="2" applyFont="1" applyFill="1" applyBorder="1" applyAlignment="1">
      <alignment horizontal="center" vertical="center" wrapText="1"/>
    </xf>
    <xf numFmtId="0" fontId="102" fillId="23" borderId="6" xfId="2" applyFont="1" applyFill="1" applyBorder="1" applyAlignment="1">
      <alignment horizontal="center" vertical="center"/>
    </xf>
    <xf numFmtId="0" fontId="102" fillId="23" borderId="0" xfId="2" applyFont="1" applyFill="1" applyBorder="1" applyAlignment="1">
      <alignment horizontal="center" vertical="center"/>
    </xf>
    <xf numFmtId="0" fontId="102" fillId="23" borderId="194" xfId="2" applyFont="1" applyFill="1" applyBorder="1" applyAlignment="1">
      <alignment horizontal="center" vertical="center"/>
    </xf>
    <xf numFmtId="0" fontId="102" fillId="23" borderId="3" xfId="2" applyFont="1" applyFill="1" applyBorder="1" applyAlignment="1">
      <alignment horizontal="center" vertical="center"/>
    </xf>
    <xf numFmtId="0" fontId="219" fillId="0" borderId="0" xfId="8" applyFont="1" applyAlignment="1">
      <alignment horizontal="center" vertical="center"/>
    </xf>
    <xf numFmtId="0" fontId="17" fillId="4" borderId="53" xfId="0" applyFont="1" applyFill="1" applyBorder="1" applyAlignment="1">
      <alignment horizontal="center" vertical="center"/>
    </xf>
    <xf numFmtId="0" fontId="17" fillId="4" borderId="8" xfId="0" applyFont="1" applyFill="1" applyBorder="1" applyAlignment="1">
      <alignment horizontal="center" vertical="center"/>
    </xf>
    <xf numFmtId="0" fontId="181" fillId="4" borderId="6" xfId="0" applyFont="1" applyFill="1" applyBorder="1" applyAlignment="1">
      <alignment horizontal="center" vertical="center"/>
    </xf>
    <xf numFmtId="0" fontId="181" fillId="4" borderId="5" xfId="0" applyFont="1" applyFill="1" applyBorder="1" applyAlignment="1">
      <alignment horizontal="center" vertical="center"/>
    </xf>
    <xf numFmtId="0" fontId="3" fillId="87" borderId="0" xfId="0" applyFont="1" applyFill="1" applyBorder="1" applyAlignment="1">
      <alignment horizontal="center"/>
    </xf>
    <xf numFmtId="0" fontId="246" fillId="87" borderId="5" xfId="1" applyFont="1" applyFill="1" applyBorder="1" applyAlignment="1">
      <alignment horizontal="center" vertical="center" textRotation="90" wrapText="1"/>
    </xf>
    <xf numFmtId="0" fontId="466" fillId="4" borderId="53" xfId="1" applyFont="1" applyFill="1" applyBorder="1" applyAlignment="1" applyProtection="1">
      <alignment horizontal="center" vertical="center"/>
      <protection hidden="1"/>
    </xf>
    <xf numFmtId="0" fontId="466" fillId="4" borderId="9" xfId="1" applyFont="1" applyFill="1" applyBorder="1" applyAlignment="1" applyProtection="1">
      <alignment horizontal="center" vertical="center"/>
      <protection hidden="1"/>
    </xf>
    <xf numFmtId="0" fontId="466" fillId="4" borderId="8" xfId="1" applyFont="1" applyFill="1" applyBorder="1" applyAlignment="1" applyProtection="1">
      <alignment horizontal="center" vertical="center"/>
      <protection hidden="1"/>
    </xf>
    <xf numFmtId="0" fontId="466" fillId="4" borderId="6" xfId="1" applyFont="1" applyFill="1" applyBorder="1" applyAlignment="1" applyProtection="1">
      <alignment horizontal="center" vertical="center"/>
      <protection hidden="1"/>
    </xf>
    <xf numFmtId="0" fontId="466" fillId="4" borderId="0" xfId="1" applyFont="1" applyFill="1" applyBorder="1" applyAlignment="1" applyProtection="1">
      <alignment horizontal="center" vertical="center"/>
      <protection hidden="1"/>
    </xf>
    <xf numFmtId="0" fontId="466" fillId="4" borderId="5" xfId="1" applyFont="1" applyFill="1" applyBorder="1" applyAlignment="1" applyProtection="1">
      <alignment horizontal="center" vertical="center"/>
      <protection hidden="1"/>
    </xf>
    <xf numFmtId="0" fontId="11" fillId="4" borderId="6" xfId="3" applyNumberFormat="1" applyFont="1" applyFill="1" applyBorder="1" applyAlignment="1">
      <alignment horizontal="center" vertical="center" wrapText="1"/>
    </xf>
    <xf numFmtId="0" fontId="11" fillId="4" borderId="0" xfId="3" applyNumberFormat="1" applyFont="1" applyFill="1" applyBorder="1" applyAlignment="1">
      <alignment horizontal="center" vertical="center" wrapText="1"/>
    </xf>
    <xf numFmtId="0" fontId="11" fillId="4" borderId="5" xfId="3" applyNumberFormat="1" applyFont="1" applyFill="1" applyBorder="1" applyAlignment="1">
      <alignment horizontal="center" vertical="center" wrapText="1"/>
    </xf>
    <xf numFmtId="0" fontId="11" fillId="4" borderId="310" xfId="3" applyNumberFormat="1" applyFont="1" applyFill="1" applyBorder="1" applyAlignment="1">
      <alignment horizontal="center" vertical="center" wrapText="1"/>
    </xf>
    <xf numFmtId="0" fontId="11" fillId="4" borderId="4" xfId="3" applyNumberFormat="1" applyFont="1" applyFill="1" applyBorder="1" applyAlignment="1">
      <alignment horizontal="center" vertical="center" wrapText="1"/>
    </xf>
    <xf numFmtId="0" fontId="11" fillId="4" borderId="311" xfId="3" applyNumberFormat="1" applyFont="1" applyFill="1" applyBorder="1" applyAlignment="1">
      <alignment horizontal="center" vertical="center" wrapText="1"/>
    </xf>
    <xf numFmtId="0" fontId="5" fillId="19" borderId="6" xfId="0" applyFont="1" applyFill="1" applyBorder="1" applyAlignment="1">
      <alignment horizontal="center" vertical="center"/>
    </xf>
    <xf numFmtId="0" fontId="5" fillId="19" borderId="0" xfId="0" applyFont="1" applyFill="1" applyBorder="1" applyAlignment="1">
      <alignment horizontal="center" vertical="center"/>
    </xf>
    <xf numFmtId="0" fontId="5" fillId="19" borderId="5" xfId="0" applyFont="1" applyFill="1" applyBorder="1" applyAlignment="1">
      <alignment horizontal="center" vertical="center"/>
    </xf>
    <xf numFmtId="0" fontId="235" fillId="4" borderId="194" xfId="0" applyFont="1" applyFill="1" applyBorder="1" applyAlignment="1">
      <alignment horizontal="right" vertical="center"/>
    </xf>
    <xf numFmtId="0" fontId="235" fillId="4" borderId="3" xfId="0" applyFont="1" applyFill="1" applyBorder="1" applyAlignment="1">
      <alignment horizontal="right" vertical="center"/>
    </xf>
    <xf numFmtId="0" fontId="52" fillId="4" borderId="194" xfId="0" applyFont="1" applyFill="1" applyBorder="1" applyAlignment="1">
      <alignment horizontal="right" vertical="center"/>
    </xf>
    <xf numFmtId="0" fontId="52" fillId="4" borderId="3" xfId="0" applyFont="1" applyFill="1" applyBorder="1" applyAlignment="1">
      <alignment horizontal="right" vertical="center"/>
    </xf>
    <xf numFmtId="0" fontId="77" fillId="4" borderId="194" xfId="0" applyFont="1" applyFill="1" applyBorder="1" applyAlignment="1">
      <alignment horizontal="center" vertical="center" wrapText="1"/>
    </xf>
    <xf numFmtId="0" fontId="77" fillId="4" borderId="3" xfId="0" applyFont="1" applyFill="1" applyBorder="1" applyAlignment="1">
      <alignment horizontal="center" vertical="center" wrapText="1"/>
    </xf>
    <xf numFmtId="0" fontId="77" fillId="4" borderId="152" xfId="0" applyFont="1" applyFill="1" applyBorder="1" applyAlignment="1">
      <alignment horizontal="center" vertical="center" wrapText="1"/>
    </xf>
    <xf numFmtId="0" fontId="77" fillId="4" borderId="150" xfId="0" applyFont="1" applyFill="1" applyBorder="1" applyAlignment="1">
      <alignment horizontal="center" vertical="center" wrapText="1"/>
    </xf>
    <xf numFmtId="0" fontId="77" fillId="4" borderId="1" xfId="0" applyFont="1" applyFill="1" applyBorder="1" applyAlignment="1">
      <alignment horizontal="center" vertical="center" wrapText="1"/>
    </xf>
    <xf numFmtId="0" fontId="77" fillId="4" borderId="149" xfId="0" applyFont="1" applyFill="1" applyBorder="1" applyAlignment="1">
      <alignment horizontal="center" vertical="center" wrapText="1"/>
    </xf>
    <xf numFmtId="0" fontId="102" fillId="23" borderId="322" xfId="2" applyFont="1" applyFill="1" applyBorder="1" applyAlignment="1">
      <alignment horizontal="center" vertical="center" wrapText="1"/>
    </xf>
    <xf numFmtId="0" fontId="102" fillId="23" borderId="323" xfId="2" applyFont="1" applyFill="1" applyBorder="1" applyAlignment="1">
      <alignment horizontal="center" vertical="center" wrapText="1"/>
    </xf>
    <xf numFmtId="0" fontId="102" fillId="23" borderId="324" xfId="2" applyFont="1" applyFill="1" applyBorder="1" applyAlignment="1">
      <alignment horizontal="center" vertical="center" wrapText="1"/>
    </xf>
    <xf numFmtId="0" fontId="465" fillId="22" borderId="65" xfId="0" applyFont="1" applyFill="1" applyBorder="1" applyAlignment="1">
      <alignment horizontal="center" vertical="center"/>
    </xf>
    <xf numFmtId="0" fontId="465" fillId="22" borderId="52" xfId="0" applyFont="1" applyFill="1" applyBorder="1" applyAlignment="1">
      <alignment horizontal="center" vertical="center"/>
    </xf>
    <xf numFmtId="0" fontId="465" fillId="22" borderId="248" xfId="0" applyFont="1" applyFill="1" applyBorder="1" applyAlignment="1">
      <alignment horizontal="center" vertical="center"/>
    </xf>
    <xf numFmtId="0" fontId="465" fillId="22" borderId="66" xfId="0" applyFont="1" applyFill="1" applyBorder="1" applyAlignment="1">
      <alignment horizontal="center" vertical="center"/>
    </xf>
    <xf numFmtId="0" fontId="465" fillId="22" borderId="67" xfId="0" applyFont="1" applyFill="1" applyBorder="1" applyAlignment="1">
      <alignment horizontal="center" vertical="center"/>
    </xf>
    <xf numFmtId="0" fontId="465" fillId="22" borderId="249" xfId="0" applyFont="1" applyFill="1" applyBorder="1" applyAlignment="1">
      <alignment horizontal="center" vertical="center"/>
    </xf>
    <xf numFmtId="0" fontId="5" fillId="19" borderId="151" xfId="0" applyFont="1" applyFill="1" applyBorder="1" applyAlignment="1">
      <alignment horizontal="center" vertical="center"/>
    </xf>
    <xf numFmtId="0" fontId="5" fillId="19" borderId="3" xfId="0" applyFont="1" applyFill="1" applyBorder="1" applyAlignment="1">
      <alignment horizontal="center" vertical="center"/>
    </xf>
    <xf numFmtId="0" fontId="5" fillId="19" borderId="183" xfId="0" applyFont="1" applyFill="1" applyBorder="1" applyAlignment="1">
      <alignment horizontal="center" vertical="center"/>
    </xf>
    <xf numFmtId="0" fontId="5" fillId="11" borderId="0" xfId="0" applyFont="1" applyFill="1" applyBorder="1" applyAlignment="1">
      <alignment horizontal="center" vertical="center"/>
    </xf>
    <xf numFmtId="0" fontId="5" fillId="11" borderId="180" xfId="0" applyFont="1" applyFill="1" applyBorder="1" applyAlignment="1">
      <alignment horizontal="center" vertical="center"/>
    </xf>
    <xf numFmtId="0" fontId="52" fillId="4" borderId="0" xfId="0" applyFont="1" applyFill="1" applyBorder="1" applyAlignment="1">
      <alignment horizontal="right" vertical="center"/>
    </xf>
    <xf numFmtId="170" fontId="93" fillId="4" borderId="329" xfId="2" applyNumberFormat="1" applyFont="1" applyFill="1" applyBorder="1" applyAlignment="1">
      <alignment horizontal="center" vertical="center"/>
    </xf>
    <xf numFmtId="170" fontId="93" fillId="4" borderId="271" xfId="2" applyNumberFormat="1" applyFont="1" applyFill="1" applyBorder="1" applyAlignment="1">
      <alignment horizontal="center" vertical="center"/>
    </xf>
    <xf numFmtId="174" fontId="420" fillId="39" borderId="330" xfId="4" applyNumberFormat="1" applyFont="1" applyFill="1" applyBorder="1" applyAlignment="1">
      <alignment horizontal="right" vertical="center"/>
    </xf>
    <xf numFmtId="174" fontId="420" fillId="39" borderId="310" xfId="4" applyNumberFormat="1" applyFont="1" applyFill="1" applyBorder="1" applyAlignment="1">
      <alignment horizontal="right" vertical="center"/>
    </xf>
    <xf numFmtId="0" fontId="112" fillId="39" borderId="331" xfId="2" applyFont="1" applyFill="1" applyBorder="1" applyAlignment="1">
      <alignment horizontal="center" vertical="center"/>
    </xf>
    <xf numFmtId="0" fontId="112" fillId="39" borderId="4" xfId="2" applyFont="1" applyFill="1" applyBorder="1" applyAlignment="1">
      <alignment horizontal="center" vertical="center"/>
    </xf>
    <xf numFmtId="0" fontId="164" fillId="39" borderId="331" xfId="2" applyFont="1" applyFill="1" applyBorder="1" applyAlignment="1">
      <alignment horizontal="right" vertical="center"/>
    </xf>
    <xf numFmtId="0" fontId="164" fillId="39" borderId="4" xfId="2" applyFont="1" applyFill="1" applyBorder="1" applyAlignment="1">
      <alignment horizontal="right" vertical="center"/>
    </xf>
    <xf numFmtId="169" fontId="112" fillId="39" borderId="332" xfId="2" applyNumberFormat="1" applyFont="1" applyFill="1" applyBorder="1" applyAlignment="1">
      <alignment horizontal="center" vertical="center"/>
    </xf>
    <xf numFmtId="169" fontId="112" fillId="39" borderId="311" xfId="2" applyNumberFormat="1" applyFont="1" applyFill="1" applyBorder="1" applyAlignment="1">
      <alignment horizontal="center" vertical="center"/>
    </xf>
    <xf numFmtId="0" fontId="102" fillId="23" borderId="150" xfId="2" applyFont="1" applyFill="1" applyBorder="1" applyAlignment="1">
      <alignment horizontal="center" vertical="center"/>
    </xf>
    <xf numFmtId="0" fontId="102" fillId="23" borderId="1" xfId="2" applyFont="1" applyFill="1" applyBorder="1" applyAlignment="1">
      <alignment horizontal="center" vertical="center"/>
    </xf>
    <xf numFmtId="0" fontId="102" fillId="23" borderId="149" xfId="2" applyFont="1" applyFill="1" applyBorder="1" applyAlignment="1">
      <alignment horizontal="center" vertical="center"/>
    </xf>
    <xf numFmtId="170" fontId="82" fillId="0" borderId="0" xfId="2" applyNumberFormat="1" applyFont="1" applyBorder="1" applyAlignment="1">
      <alignment horizontal="center" vertical="center"/>
    </xf>
    <xf numFmtId="176" fontId="125" fillId="40" borderId="5" xfId="2" applyNumberFormat="1" applyFont="1" applyFill="1" applyBorder="1" applyAlignment="1" applyProtection="1">
      <alignment horizontal="center" vertical="center"/>
      <protection locked="0"/>
    </xf>
    <xf numFmtId="0" fontId="100" fillId="25" borderId="6" xfId="4" applyNumberFormat="1" applyFont="1" applyFill="1" applyBorder="1" applyAlignment="1">
      <alignment horizontal="center" vertical="center"/>
    </xf>
    <xf numFmtId="0" fontId="100" fillId="25" borderId="43" xfId="4" applyNumberFormat="1" applyFont="1" applyFill="1" applyBorder="1" applyAlignment="1">
      <alignment horizontal="center" vertical="center"/>
    </xf>
    <xf numFmtId="0" fontId="100" fillId="25" borderId="0" xfId="4" applyNumberFormat="1" applyFont="1" applyFill="1" applyBorder="1" applyAlignment="1">
      <alignment horizontal="center" vertical="center"/>
    </xf>
    <xf numFmtId="0" fontId="100" fillId="25" borderId="44" xfId="4" applyNumberFormat="1" applyFont="1" applyFill="1" applyBorder="1" applyAlignment="1">
      <alignment horizontal="center" vertical="center"/>
    </xf>
    <xf numFmtId="0" fontId="100" fillId="25" borderId="5" xfId="4" applyNumberFormat="1" applyFont="1" applyFill="1" applyBorder="1" applyAlignment="1">
      <alignment horizontal="center" vertical="center"/>
    </xf>
    <xf numFmtId="0" fontId="100" fillId="25" borderId="45" xfId="4" applyNumberFormat="1" applyFont="1" applyFill="1" applyBorder="1" applyAlignment="1">
      <alignment horizontal="center" vertical="center"/>
    </xf>
    <xf numFmtId="170" fontId="82" fillId="4" borderId="40" xfId="2" applyNumberFormat="1" applyFont="1" applyFill="1" applyBorder="1" applyAlignment="1">
      <alignment horizontal="center" vertical="center"/>
    </xf>
    <xf numFmtId="170" fontId="82" fillId="4" borderId="41" xfId="2" applyNumberFormat="1" applyFont="1" applyFill="1" applyBorder="1" applyAlignment="1">
      <alignment horizontal="center" vertical="center"/>
    </xf>
    <xf numFmtId="170" fontId="82" fillId="4" borderId="42" xfId="2" applyNumberFormat="1" applyFont="1" applyFill="1" applyBorder="1" applyAlignment="1">
      <alignment horizontal="center" vertical="center"/>
    </xf>
    <xf numFmtId="170" fontId="93" fillId="4" borderId="46" xfId="2" applyNumberFormat="1" applyFont="1" applyFill="1" applyBorder="1" applyAlignment="1">
      <alignment horizontal="center" vertical="center"/>
    </xf>
    <xf numFmtId="170" fontId="1" fillId="0" borderId="5" xfId="2" applyNumberFormat="1" applyFont="1" applyBorder="1" applyAlignment="1">
      <alignment horizontal="center" vertical="center"/>
    </xf>
    <xf numFmtId="170" fontId="157" fillId="25" borderId="326" xfId="4" applyNumberFormat="1" applyFont="1" applyFill="1" applyBorder="1" applyAlignment="1">
      <alignment horizontal="center" vertical="center"/>
    </xf>
    <xf numFmtId="170" fontId="157" fillId="25" borderId="6" xfId="4" applyNumberFormat="1" applyFont="1" applyFill="1" applyBorder="1" applyAlignment="1">
      <alignment horizontal="center" vertical="center"/>
    </xf>
    <xf numFmtId="170" fontId="157" fillId="25" borderId="327" xfId="4" applyNumberFormat="1" applyFont="1" applyFill="1" applyBorder="1" applyAlignment="1">
      <alignment horizontal="center" vertical="center"/>
    </xf>
    <xf numFmtId="170" fontId="157" fillId="25" borderId="0" xfId="4" applyNumberFormat="1" applyFont="1" applyFill="1" applyBorder="1" applyAlignment="1">
      <alignment horizontal="center" vertical="center"/>
    </xf>
    <xf numFmtId="170" fontId="157" fillId="25" borderId="328" xfId="4" applyNumberFormat="1" applyFont="1" applyFill="1" applyBorder="1" applyAlignment="1">
      <alignment horizontal="center" vertical="center"/>
    </xf>
    <xf numFmtId="170" fontId="157" fillId="25" borderId="5" xfId="4" applyNumberFormat="1" applyFont="1" applyFill="1" applyBorder="1" applyAlignment="1">
      <alignment horizontal="center" vertical="center"/>
    </xf>
    <xf numFmtId="170" fontId="82" fillId="0" borderId="6" xfId="2" applyNumberFormat="1" applyFont="1" applyBorder="1" applyAlignment="1">
      <alignment horizontal="center" vertical="center"/>
    </xf>
    <xf numFmtId="170" fontId="125" fillId="40" borderId="6" xfId="2" applyNumberFormat="1" applyFont="1" applyFill="1" applyBorder="1" applyAlignment="1" applyProtection="1">
      <alignment horizontal="center" vertical="center"/>
      <protection locked="0"/>
    </xf>
    <xf numFmtId="170" fontId="73" fillId="25" borderId="0" xfId="2" applyNumberFormat="1" applyFont="1" applyFill="1" applyBorder="1" applyAlignment="1" applyProtection="1">
      <alignment horizontal="center" vertical="center"/>
      <protection locked="0"/>
    </xf>
    <xf numFmtId="0" fontId="4" fillId="4" borderId="144" xfId="1" applyFill="1" applyBorder="1" applyAlignment="1">
      <alignment horizontal="center" vertical="center" wrapText="1"/>
    </xf>
    <xf numFmtId="0" fontId="4" fillId="4" borderId="0" xfId="1" applyFill="1" applyBorder="1" applyAlignment="1">
      <alignment horizontal="center" vertical="center" wrapText="1"/>
    </xf>
    <xf numFmtId="0" fontId="4" fillId="4" borderId="180" xfId="1" applyFill="1" applyBorder="1" applyAlignment="1">
      <alignment horizontal="center" vertical="center" wrapText="1"/>
    </xf>
    <xf numFmtId="0" fontId="4" fillId="4" borderId="309" xfId="1" applyFill="1" applyBorder="1" applyAlignment="1">
      <alignment horizontal="center" vertical="center" wrapText="1"/>
    </xf>
    <xf numFmtId="0" fontId="4" fillId="4" borderId="316" xfId="1" applyFill="1" applyBorder="1" applyAlignment="1">
      <alignment horizontal="center" vertical="center" wrapText="1"/>
    </xf>
    <xf numFmtId="0" fontId="4" fillId="4" borderId="313" xfId="1" applyFill="1" applyBorder="1" applyAlignment="1">
      <alignment horizontal="center" vertical="center" wrapText="1"/>
    </xf>
    <xf numFmtId="174" fontId="95" fillId="0" borderId="6" xfId="4" applyNumberFormat="1" applyFont="1" applyFill="1" applyBorder="1" applyAlignment="1">
      <alignment horizontal="center" vertical="center"/>
    </xf>
    <xf numFmtId="174" fontId="95" fillId="0" borderId="0" xfId="4" applyNumberFormat="1" applyFont="1" applyFill="1" applyBorder="1" applyAlignment="1">
      <alignment horizontal="center" vertical="center"/>
    </xf>
    <xf numFmtId="174" fontId="95" fillId="0" borderId="37" xfId="4" applyNumberFormat="1" applyFont="1" applyFill="1" applyBorder="1" applyAlignment="1">
      <alignment horizontal="center" vertical="center"/>
    </xf>
    <xf numFmtId="174" fontId="95" fillId="0" borderId="38" xfId="4" applyNumberFormat="1" applyFont="1" applyFill="1" applyBorder="1" applyAlignment="1">
      <alignment horizontal="center" vertical="center"/>
    </xf>
    <xf numFmtId="175" fontId="96" fillId="39" borderId="0" xfId="2" applyNumberFormat="1" applyFont="1" applyFill="1" applyBorder="1" applyAlignment="1" applyProtection="1">
      <alignment horizontal="right" vertical="center" wrapText="1"/>
      <protection locked="0"/>
    </xf>
    <xf numFmtId="175" fontId="96" fillId="39" borderId="38" xfId="2" applyNumberFormat="1" applyFont="1" applyFill="1" applyBorder="1" applyAlignment="1" applyProtection="1">
      <alignment horizontal="right" vertical="center" wrapText="1"/>
      <protection locked="0"/>
    </xf>
    <xf numFmtId="2" fontId="20" fillId="39" borderId="5" xfId="4" applyNumberFormat="1" applyFont="1" applyFill="1" applyBorder="1" applyAlignment="1">
      <alignment horizontal="center" vertical="center"/>
    </xf>
    <xf numFmtId="2" fontId="20" fillId="39" borderId="39" xfId="4" applyNumberFormat="1" applyFont="1" applyFill="1" applyBorder="1" applyAlignment="1">
      <alignment horizontal="center" vertical="center"/>
    </xf>
    <xf numFmtId="0" fontId="4" fillId="4" borderId="0" xfId="1" applyFill="1" applyBorder="1" applyAlignment="1">
      <alignment horizontal="left" vertical="center"/>
    </xf>
    <xf numFmtId="0" fontId="4" fillId="4" borderId="180" xfId="1" applyFill="1" applyBorder="1" applyAlignment="1">
      <alignment horizontal="left" vertical="center"/>
    </xf>
    <xf numFmtId="0" fontId="4" fillId="4" borderId="150" xfId="1" applyFill="1" applyBorder="1" applyAlignment="1">
      <alignment horizontal="center" vertical="center"/>
    </xf>
    <xf numFmtId="0" fontId="4" fillId="4" borderId="1" xfId="1" applyFill="1" applyBorder="1" applyAlignment="1">
      <alignment horizontal="center" vertical="center"/>
    </xf>
    <xf numFmtId="0" fontId="4" fillId="4" borderId="144" xfId="1" applyFont="1" applyFill="1" applyBorder="1" applyAlignment="1">
      <alignment horizontal="center" vertical="center" wrapText="1"/>
    </xf>
    <xf numFmtId="0" fontId="4" fillId="4" borderId="0" xfId="1" applyFont="1" applyFill="1" applyBorder="1" applyAlignment="1">
      <alignment horizontal="center" vertical="center" wrapText="1"/>
    </xf>
    <xf numFmtId="0" fontId="4" fillId="4" borderId="180" xfId="1" applyFont="1" applyFill="1" applyBorder="1" applyAlignment="1">
      <alignment horizontal="center" vertical="center" wrapText="1"/>
    </xf>
    <xf numFmtId="0" fontId="91" fillId="4" borderId="6" xfId="1" applyFont="1" applyFill="1" applyBorder="1" applyAlignment="1">
      <alignment horizontal="center" vertical="center"/>
    </xf>
    <xf numFmtId="0" fontId="91" fillId="4" borderId="0" xfId="1" applyFont="1" applyFill="1" applyBorder="1" applyAlignment="1">
      <alignment horizontal="center" vertical="center"/>
    </xf>
    <xf numFmtId="0" fontId="4" fillId="4" borderId="6" xfId="1" applyFill="1" applyBorder="1" applyAlignment="1">
      <alignment horizontal="center" vertical="center"/>
    </xf>
    <xf numFmtId="0" fontId="4" fillId="4" borderId="0" xfId="1" applyFill="1" applyBorder="1" applyAlignment="1">
      <alignment horizontal="center" vertical="center"/>
    </xf>
    <xf numFmtId="0" fontId="3" fillId="0" borderId="194" xfId="0" applyFont="1" applyBorder="1" applyAlignment="1">
      <alignment horizontal="center" vertical="center"/>
    </xf>
    <xf numFmtId="0" fontId="3" fillId="0" borderId="3" xfId="0" applyFont="1" applyBorder="1" applyAlignment="1">
      <alignment horizontal="center" vertical="center"/>
    </xf>
    <xf numFmtId="0" fontId="3" fillId="0" borderId="152" xfId="0" applyFont="1" applyBorder="1" applyAlignment="1">
      <alignment horizontal="center" vertical="center"/>
    </xf>
    <xf numFmtId="49" fontId="23" fillId="0" borderId="322" xfId="5" applyNumberFormat="1" applyFont="1" applyBorder="1" applyAlignment="1">
      <alignment horizontal="center" vertical="center"/>
    </xf>
    <xf numFmtId="49" fontId="23" fillId="0" borderId="323" xfId="5" applyNumberFormat="1" applyFont="1" applyBorder="1" applyAlignment="1">
      <alignment horizontal="center" vertical="center"/>
    </xf>
    <xf numFmtId="49" fontId="23" fillId="0" borderId="324" xfId="5" applyNumberFormat="1" applyFont="1" applyBorder="1" applyAlignment="1">
      <alignment horizontal="center" vertical="center"/>
    </xf>
    <xf numFmtId="0" fontId="416" fillId="7" borderId="325" xfId="22" applyFont="1" applyFill="1" applyBorder="1" applyAlignment="1" applyProtection="1">
      <alignment horizontal="center" vertical="center" wrapText="1"/>
      <protection locked="0"/>
    </xf>
    <xf numFmtId="0" fontId="416" fillId="7" borderId="276" xfId="22" applyFont="1" applyFill="1" applyBorder="1" applyAlignment="1" applyProtection="1">
      <alignment horizontal="center" vertical="center" wrapText="1"/>
      <protection locked="0"/>
    </xf>
    <xf numFmtId="0" fontId="416" fillId="7" borderId="275" xfId="22" applyFont="1" applyFill="1" applyBorder="1" applyAlignment="1" applyProtection="1">
      <alignment horizontal="center" vertical="center" wrapText="1"/>
      <protection locked="0"/>
    </xf>
    <xf numFmtId="0" fontId="91" fillId="7" borderId="151" xfId="1" applyFont="1" applyFill="1" applyBorder="1" applyAlignment="1">
      <alignment horizontal="center" vertical="center"/>
    </xf>
    <xf numFmtId="0" fontId="91" fillId="7" borderId="3" xfId="1" applyFont="1" applyFill="1" applyBorder="1" applyAlignment="1">
      <alignment horizontal="center" vertical="center"/>
    </xf>
    <xf numFmtId="0" fontId="91" fillId="7" borderId="183" xfId="1" applyFont="1" applyFill="1" applyBorder="1" applyAlignment="1">
      <alignment horizontal="center" vertical="center"/>
    </xf>
    <xf numFmtId="0" fontId="91" fillId="7" borderId="144" xfId="1" applyFont="1" applyFill="1" applyBorder="1" applyAlignment="1">
      <alignment horizontal="center" vertical="center"/>
    </xf>
    <xf numFmtId="0" fontId="91" fillId="7" borderId="0" xfId="1" applyFont="1" applyFill="1" applyBorder="1" applyAlignment="1">
      <alignment horizontal="center" vertical="center"/>
    </xf>
    <xf numFmtId="0" fontId="91" fillId="7" borderId="180" xfId="1" applyFont="1" applyFill="1" applyBorder="1" applyAlignment="1">
      <alignment horizontal="center" vertical="center"/>
    </xf>
    <xf numFmtId="0" fontId="91" fillId="7" borderId="53" xfId="1" applyFont="1" applyFill="1" applyBorder="1" applyAlignment="1">
      <alignment horizontal="center" vertical="center" wrapText="1"/>
    </xf>
    <xf numFmtId="0" fontId="91" fillId="7" borderId="9" xfId="1" applyFont="1" applyFill="1" applyBorder="1" applyAlignment="1">
      <alignment horizontal="center" vertical="center" wrapText="1"/>
    </xf>
    <xf numFmtId="0" fontId="91" fillId="7" borderId="6" xfId="1" applyFont="1" applyFill="1" applyBorder="1" applyAlignment="1">
      <alignment horizontal="center" vertical="center" wrapText="1"/>
    </xf>
    <xf numFmtId="0" fontId="91" fillId="7" borderId="0" xfId="1" applyFont="1" applyFill="1" applyBorder="1" applyAlignment="1">
      <alignment horizontal="center" vertical="center" wrapText="1"/>
    </xf>
    <xf numFmtId="0" fontId="58" fillId="7" borderId="9" xfId="1" applyFont="1" applyFill="1" applyBorder="1" applyAlignment="1">
      <alignment horizontal="center" vertical="center" wrapText="1"/>
    </xf>
    <xf numFmtId="0" fontId="58" fillId="7" borderId="0" xfId="1" applyFont="1" applyFill="1" applyBorder="1" applyAlignment="1">
      <alignment horizontal="center" vertical="center" wrapText="1"/>
    </xf>
    <xf numFmtId="0" fontId="94" fillId="7" borderId="9" xfId="1" applyFont="1" applyFill="1" applyBorder="1" applyAlignment="1">
      <alignment horizontal="center" vertical="center" wrapText="1"/>
    </xf>
    <xf numFmtId="0" fontId="94" fillId="7" borderId="0" xfId="1" applyFont="1" applyFill="1" applyBorder="1" applyAlignment="1">
      <alignment horizontal="center" vertical="center" wrapText="1"/>
    </xf>
    <xf numFmtId="0" fontId="58" fillId="7" borderId="8" xfId="1" applyFont="1" applyFill="1" applyBorder="1" applyAlignment="1">
      <alignment horizontal="center" vertical="center"/>
    </xf>
    <xf numFmtId="0" fontId="58" fillId="7" borderId="5" xfId="1" applyFont="1" applyFill="1" applyBorder="1" applyAlignment="1">
      <alignment horizontal="center" vertical="center"/>
    </xf>
    <xf numFmtId="0" fontId="232" fillId="99" borderId="53" xfId="0" applyFont="1" applyFill="1" applyBorder="1" applyAlignment="1">
      <alignment horizontal="center" vertical="center" wrapText="1"/>
    </xf>
    <xf numFmtId="0" fontId="232" fillId="99" borderId="9" xfId="0" applyFont="1" applyFill="1" applyBorder="1" applyAlignment="1">
      <alignment horizontal="center" vertical="center" wrapText="1"/>
    </xf>
    <xf numFmtId="0" fontId="232" fillId="99" borderId="8" xfId="0" applyFont="1" applyFill="1" applyBorder="1" applyAlignment="1">
      <alignment horizontal="center" vertical="center" wrapText="1"/>
    </xf>
    <xf numFmtId="0" fontId="232" fillId="99" borderId="150" xfId="0" applyFont="1" applyFill="1" applyBorder="1" applyAlignment="1">
      <alignment horizontal="center" vertical="center" wrapText="1"/>
    </xf>
    <xf numFmtId="0" fontId="232" fillId="99" borderId="1" xfId="0" applyFont="1" applyFill="1" applyBorder="1" applyAlignment="1">
      <alignment horizontal="center" vertical="center" wrapText="1"/>
    </xf>
    <xf numFmtId="0" fontId="232" fillId="99" borderId="149" xfId="0" applyFont="1" applyFill="1" applyBorder="1" applyAlignment="1">
      <alignment horizontal="center" vertical="center" wrapText="1"/>
    </xf>
    <xf numFmtId="0" fontId="5" fillId="4" borderId="6" xfId="1" applyFont="1" applyFill="1" applyBorder="1" applyAlignment="1" applyProtection="1">
      <alignment horizontal="center" vertical="center"/>
      <protection hidden="1"/>
    </xf>
    <xf numFmtId="0" fontId="5" fillId="4" borderId="0" xfId="1" applyFont="1" applyFill="1" applyBorder="1" applyAlignment="1" applyProtection="1">
      <alignment horizontal="center" vertical="center"/>
      <protection hidden="1"/>
    </xf>
    <xf numFmtId="0" fontId="5" fillId="4" borderId="5" xfId="1" applyFont="1" applyFill="1" applyBorder="1" applyAlignment="1" applyProtection="1">
      <alignment horizontal="center" vertical="center"/>
      <protection hidden="1"/>
    </xf>
    <xf numFmtId="49" fontId="1" fillId="4" borderId="265" xfId="2" applyNumberFormat="1" applyFill="1" applyBorder="1" applyAlignment="1">
      <alignment horizontal="center" vertical="center"/>
    </xf>
    <xf numFmtId="49" fontId="1" fillId="4" borderId="266" xfId="2" applyNumberFormat="1" applyFill="1" applyBorder="1" applyAlignment="1">
      <alignment horizontal="center" vertical="center"/>
    </xf>
    <xf numFmtId="49" fontId="1" fillId="4" borderId="267" xfId="2" applyNumberFormat="1" applyFill="1" applyBorder="1" applyAlignment="1">
      <alignment horizontal="center" vertical="center"/>
    </xf>
    <xf numFmtId="49" fontId="42" fillId="0" borderId="6" xfId="2" applyNumberFormat="1" applyFont="1" applyBorder="1" applyAlignment="1">
      <alignment horizontal="center" vertical="center" wrapText="1"/>
    </xf>
    <xf numFmtId="49" fontId="42" fillId="0" borderId="24" xfId="2" applyNumberFormat="1" applyFont="1" applyBorder="1" applyAlignment="1">
      <alignment horizontal="center" vertical="center" wrapText="1"/>
    </xf>
    <xf numFmtId="49" fontId="42" fillId="0" borderId="0" xfId="2" applyNumberFormat="1" applyFont="1" applyBorder="1" applyAlignment="1">
      <alignment horizontal="center" vertical="center" wrapText="1"/>
    </xf>
    <xf numFmtId="49" fontId="42" fillId="0" borderId="23" xfId="2" applyNumberFormat="1" applyFont="1" applyBorder="1" applyAlignment="1">
      <alignment horizontal="center" vertical="center" wrapText="1"/>
    </xf>
    <xf numFmtId="49" fontId="42" fillId="0" borderId="5" xfId="2" applyNumberFormat="1" applyFont="1" applyBorder="1" applyAlignment="1">
      <alignment horizontal="center" vertical="center" wrapText="1"/>
    </xf>
    <xf numFmtId="49" fontId="42" fillId="0" borderId="22" xfId="2" applyNumberFormat="1" applyFont="1" applyBorder="1" applyAlignment="1">
      <alignment horizontal="center" vertical="center" wrapText="1"/>
    </xf>
    <xf numFmtId="167" fontId="82" fillId="22" borderId="5" xfId="1" applyNumberFormat="1" applyFont="1" applyFill="1" applyBorder="1" applyAlignment="1">
      <alignment horizontal="center" vertical="center"/>
    </xf>
    <xf numFmtId="0" fontId="528" fillId="4" borderId="6" xfId="0" applyFont="1" applyFill="1" applyBorder="1" applyAlignment="1">
      <alignment horizontal="center" vertical="center" wrapText="1"/>
    </xf>
    <xf numFmtId="0" fontId="528" fillId="4" borderId="0" xfId="0" applyFont="1" applyFill="1" applyBorder="1" applyAlignment="1">
      <alignment horizontal="center" vertical="center" wrapText="1"/>
    </xf>
    <xf numFmtId="0" fontId="528" fillId="4" borderId="5" xfId="0" applyFont="1" applyFill="1" applyBorder="1" applyAlignment="1">
      <alignment horizontal="center" vertical="center" wrapText="1"/>
    </xf>
    <xf numFmtId="0" fontId="527" fillId="4" borderId="6" xfId="0" applyFont="1" applyFill="1" applyBorder="1" applyAlignment="1">
      <alignment horizontal="center" vertical="center" wrapText="1"/>
    </xf>
    <xf numFmtId="0" fontId="527" fillId="4" borderId="0" xfId="0" applyFont="1" applyFill="1" applyBorder="1" applyAlignment="1">
      <alignment horizontal="center" vertical="center" wrapText="1"/>
    </xf>
    <xf numFmtId="0" fontId="527" fillId="4" borderId="5" xfId="0" applyFont="1" applyFill="1" applyBorder="1" applyAlignment="1">
      <alignment horizontal="center" vertical="center" wrapText="1"/>
    </xf>
    <xf numFmtId="0" fontId="527" fillId="4" borderId="6" xfId="0" applyFont="1" applyFill="1" applyBorder="1" applyAlignment="1">
      <alignment horizontal="center" wrapText="1"/>
    </xf>
    <xf numFmtId="0" fontId="527" fillId="4" borderId="0" xfId="0" applyFont="1" applyFill="1" applyBorder="1" applyAlignment="1">
      <alignment horizontal="center" wrapText="1"/>
    </xf>
    <xf numFmtId="0" fontId="527" fillId="4" borderId="5" xfId="0" applyFont="1" applyFill="1" applyBorder="1" applyAlignment="1">
      <alignment horizontal="center" wrapText="1"/>
    </xf>
    <xf numFmtId="0" fontId="527" fillId="4" borderId="6" xfId="0" applyFont="1" applyFill="1" applyBorder="1" applyAlignment="1">
      <alignment horizontal="left" wrapText="1"/>
    </xf>
    <xf numFmtId="0" fontId="527" fillId="4" borderId="0" xfId="0" applyFont="1" applyFill="1" applyBorder="1" applyAlignment="1">
      <alignment horizontal="left" wrapText="1"/>
    </xf>
    <xf numFmtId="0" fontId="527" fillId="4" borderId="5" xfId="0" applyFont="1" applyFill="1" applyBorder="1" applyAlignment="1">
      <alignment horizontal="left" wrapText="1"/>
    </xf>
    <xf numFmtId="0" fontId="82" fillId="37" borderId="6" xfId="1" applyFont="1" applyFill="1" applyBorder="1" applyAlignment="1">
      <alignment horizontal="right" vertical="center"/>
    </xf>
    <xf numFmtId="0" fontId="82" fillId="37" borderId="0" xfId="1" applyFont="1" applyFill="1" applyBorder="1" applyAlignment="1">
      <alignment horizontal="right" vertical="center"/>
    </xf>
    <xf numFmtId="0" fontId="213" fillId="37" borderId="0" xfId="1" applyFont="1" applyFill="1" applyBorder="1" applyAlignment="1">
      <alignment horizontal="center" vertical="center"/>
    </xf>
    <xf numFmtId="0" fontId="82" fillId="37" borderId="0" xfId="1" applyFont="1" applyFill="1" applyBorder="1" applyAlignment="1">
      <alignment horizontal="center" vertical="center"/>
    </xf>
    <xf numFmtId="0" fontId="82" fillId="37" borderId="0" xfId="1" quotePrefix="1" applyFont="1" applyFill="1" applyBorder="1" applyAlignment="1">
      <alignment horizontal="center" vertical="center" wrapText="1"/>
    </xf>
    <xf numFmtId="0" fontId="82" fillId="22" borderId="0" xfId="1" applyFont="1" applyFill="1" applyBorder="1" applyAlignment="1">
      <alignment horizontal="center" vertical="center"/>
    </xf>
    <xf numFmtId="0" fontId="518" fillId="4" borderId="26" xfId="1" applyFont="1" applyFill="1" applyBorder="1" applyAlignment="1">
      <alignment horizontal="center" vertical="center"/>
    </xf>
    <xf numFmtId="0" fontId="235" fillId="4" borderId="0" xfId="1" applyFont="1" applyFill="1" applyBorder="1" applyAlignment="1">
      <alignment horizontal="center" vertical="center" wrapText="1"/>
    </xf>
    <xf numFmtId="0" fontId="235" fillId="4" borderId="145" xfId="1" applyFont="1" applyFill="1" applyBorder="1" applyAlignment="1">
      <alignment horizontal="center" vertical="center" wrapText="1"/>
    </xf>
    <xf numFmtId="0" fontId="525" fillId="4" borderId="0" xfId="0" applyFont="1" applyFill="1" applyBorder="1" applyAlignment="1">
      <alignment horizontal="left" vertical="center" wrapText="1"/>
    </xf>
    <xf numFmtId="0" fontId="77" fillId="4" borderId="208" xfId="0" applyFont="1" applyFill="1" applyBorder="1" applyAlignment="1">
      <alignment horizontal="center" vertical="center" wrapText="1"/>
    </xf>
    <xf numFmtId="0" fontId="43" fillId="23" borderId="53" xfId="1" applyFont="1" applyFill="1" applyBorder="1" applyAlignment="1">
      <alignment horizontal="center"/>
    </xf>
    <xf numFmtId="0" fontId="43" fillId="23" borderId="9" xfId="1" applyFont="1" applyFill="1" applyBorder="1" applyAlignment="1">
      <alignment horizontal="center"/>
    </xf>
    <xf numFmtId="0" fontId="43" fillId="23" borderId="8" xfId="1" applyFont="1" applyFill="1" applyBorder="1" applyAlignment="1">
      <alignment horizontal="center"/>
    </xf>
    <xf numFmtId="0" fontId="43" fillId="23" borderId="6" xfId="1" applyFont="1" applyFill="1" applyBorder="1" applyAlignment="1">
      <alignment horizontal="center"/>
    </xf>
    <xf numFmtId="0" fontId="43" fillId="23" borderId="0" xfId="1" applyFont="1" applyFill="1" applyBorder="1" applyAlignment="1">
      <alignment horizontal="center"/>
    </xf>
    <xf numFmtId="0" fontId="43" fillId="23" borderId="5" xfId="1" applyFont="1" applyFill="1" applyBorder="1" applyAlignment="1">
      <alignment horizontal="center"/>
    </xf>
    <xf numFmtId="222" fontId="518" fillId="8" borderId="0" xfId="1" applyNumberFormat="1" applyFont="1" applyFill="1" applyBorder="1" applyAlignment="1">
      <alignment horizontal="center" vertical="center"/>
    </xf>
    <xf numFmtId="164" fontId="499" fillId="21" borderId="0" xfId="1" applyNumberFormat="1" applyFont="1" applyFill="1" applyBorder="1" applyAlignment="1">
      <alignment horizontal="center" vertical="center"/>
    </xf>
    <xf numFmtId="164" fontId="12" fillId="21" borderId="0" xfId="1" applyNumberFormat="1" applyFont="1" applyFill="1" applyBorder="1" applyAlignment="1">
      <alignment horizontal="center" vertical="center"/>
    </xf>
    <xf numFmtId="0" fontId="484" fillId="22" borderId="0" xfId="1" applyFont="1" applyFill="1" applyBorder="1" applyAlignment="1">
      <alignment horizontal="center" vertical="center"/>
    </xf>
    <xf numFmtId="2" fontId="26" fillId="117" borderId="0" xfId="1" applyNumberFormat="1" applyFont="1" applyFill="1" applyBorder="1" applyAlignment="1" applyProtection="1">
      <alignment horizontal="left" vertical="center" wrapText="1"/>
      <protection locked="0"/>
    </xf>
    <xf numFmtId="164" fontId="36" fillId="22" borderId="0" xfId="1" applyNumberFormat="1" applyFont="1" applyFill="1" applyBorder="1" applyAlignment="1">
      <alignment horizontal="center" vertical="center"/>
    </xf>
    <xf numFmtId="164" fontId="11" fillId="22" borderId="0" xfId="1" applyNumberFormat="1" applyFont="1" applyFill="1" applyBorder="1" applyAlignment="1">
      <alignment horizontal="center" vertical="center"/>
    </xf>
    <xf numFmtId="0" fontId="514" fillId="4" borderId="26" xfId="1" applyFont="1" applyFill="1" applyBorder="1" applyAlignment="1">
      <alignment horizontal="center" vertical="center"/>
    </xf>
    <xf numFmtId="0" fontId="88" fillId="4" borderId="0" xfId="1" applyFont="1" applyFill="1" applyBorder="1" applyAlignment="1">
      <alignment horizontal="right" vertical="center"/>
    </xf>
    <xf numFmtId="0" fontId="518" fillId="8" borderId="0" xfId="1" applyFont="1" applyFill="1" applyBorder="1" applyAlignment="1">
      <alignment horizontal="center" vertical="center"/>
    </xf>
    <xf numFmtId="221" fontId="518" fillId="8" borderId="0" xfId="3" applyNumberFormat="1" applyFont="1" applyFill="1" applyBorder="1" applyAlignment="1">
      <alignment horizontal="center" vertical="center"/>
    </xf>
    <xf numFmtId="221" fontId="518" fillId="8" borderId="0" xfId="1" applyNumberFormat="1" applyFont="1" applyFill="1" applyBorder="1" applyAlignment="1">
      <alignment horizontal="center" vertical="center"/>
    </xf>
    <xf numFmtId="2" fontId="520" fillId="117" borderId="0" xfId="1" applyNumberFormat="1" applyFont="1" applyFill="1" applyBorder="1" applyAlignment="1" applyProtection="1">
      <alignment horizontal="center" vertical="center" wrapText="1"/>
      <protection locked="0"/>
    </xf>
    <xf numFmtId="0" fontId="26" fillId="4" borderId="0" xfId="3" applyFont="1" applyFill="1" applyBorder="1" applyAlignment="1">
      <alignment horizontal="center" vertical="center" wrapText="1"/>
    </xf>
    <xf numFmtId="0" fontId="524" fillId="4" borderId="0" xfId="3" applyFont="1" applyFill="1" applyBorder="1" applyAlignment="1">
      <alignment horizontal="center" vertical="center" wrapText="1"/>
    </xf>
    <xf numFmtId="0" fontId="40" fillId="21" borderId="0" xfId="1" applyFont="1" applyFill="1" applyBorder="1" applyAlignment="1">
      <alignment horizontal="center" vertical="center"/>
    </xf>
    <xf numFmtId="221" fontId="12" fillId="21" borderId="0" xfId="3" applyNumberFormat="1" applyFont="1" applyFill="1" applyBorder="1" applyAlignment="1">
      <alignment horizontal="center" vertical="center"/>
    </xf>
    <xf numFmtId="221" fontId="12" fillId="21" borderId="0" xfId="1" applyNumberFormat="1" applyFont="1" applyFill="1" applyBorder="1" applyAlignment="1">
      <alignment horizontal="center" vertical="center"/>
    </xf>
    <xf numFmtId="222" fontId="12" fillId="21" borderId="0" xfId="1" applyNumberFormat="1" applyFont="1" applyFill="1" applyBorder="1" applyAlignment="1">
      <alignment horizontal="center" vertical="center"/>
    </xf>
    <xf numFmtId="0" fontId="523" fillId="4" borderId="0" xfId="3" applyFont="1" applyFill="1" applyBorder="1" applyAlignment="1">
      <alignment horizontal="center" vertical="center" wrapText="1"/>
    </xf>
    <xf numFmtId="0" fontId="508" fillId="4" borderId="0" xfId="3" applyFont="1" applyFill="1" applyBorder="1" applyAlignment="1">
      <alignment horizontal="center" vertical="center" wrapText="1"/>
    </xf>
    <xf numFmtId="0" fontId="77" fillId="4" borderId="6" xfId="0" applyFont="1" applyFill="1" applyBorder="1" applyAlignment="1">
      <alignment horizontal="center" vertical="center" wrapText="1"/>
    </xf>
    <xf numFmtId="0" fontId="77" fillId="4" borderId="0" xfId="0" applyFont="1" applyFill="1" applyBorder="1" applyAlignment="1">
      <alignment horizontal="center" vertical="center" wrapText="1"/>
    </xf>
    <xf numFmtId="0" fontId="77" fillId="4" borderId="5" xfId="0" applyFont="1" applyFill="1" applyBorder="1" applyAlignment="1">
      <alignment horizontal="center" vertical="center" wrapText="1"/>
    </xf>
    <xf numFmtId="0" fontId="70" fillId="23" borderId="9" xfId="0" applyFont="1" applyFill="1" applyBorder="1" applyAlignment="1">
      <alignment horizontal="center" vertical="center" wrapText="1"/>
    </xf>
    <xf numFmtId="0" fontId="70" fillId="23" borderId="8" xfId="0" applyFont="1" applyFill="1" applyBorder="1" applyAlignment="1">
      <alignment horizontal="center" vertical="center" wrapText="1"/>
    </xf>
    <xf numFmtId="0" fontId="70" fillId="23" borderId="0" xfId="0" applyFont="1" applyFill="1" applyBorder="1" applyAlignment="1">
      <alignment horizontal="center" vertical="center" wrapText="1"/>
    </xf>
    <xf numFmtId="0" fontId="70" fillId="23" borderId="5" xfId="0" applyFont="1" applyFill="1" applyBorder="1" applyAlignment="1">
      <alignment horizontal="center" vertical="center" wrapText="1"/>
    </xf>
    <xf numFmtId="0" fontId="510" fillId="4" borderId="0" xfId="0" applyFont="1" applyFill="1" applyBorder="1" applyAlignment="1">
      <alignment horizontal="center" vertical="center" wrapText="1"/>
    </xf>
    <xf numFmtId="0" fontId="40" fillId="21" borderId="0" xfId="0" applyFont="1" applyFill="1" applyBorder="1" applyAlignment="1">
      <alignment horizontal="center" vertical="center" wrapText="1"/>
    </xf>
    <xf numFmtId="0" fontId="509" fillId="4" borderId="0" xfId="0" applyFont="1" applyFill="1" applyBorder="1" applyAlignment="1">
      <alignment horizontal="center" vertical="center" wrapText="1"/>
    </xf>
    <xf numFmtId="0" fontId="509" fillId="4" borderId="186" xfId="0" applyFont="1" applyFill="1" applyBorder="1" applyAlignment="1">
      <alignment horizontal="center" vertical="center" wrapText="1"/>
    </xf>
    <xf numFmtId="0" fontId="92" fillId="4" borderId="26" xfId="1" applyFont="1" applyFill="1" applyBorder="1" applyAlignment="1">
      <alignment horizontal="center" vertical="center"/>
    </xf>
    <xf numFmtId="0" fontId="93" fillId="4" borderId="6" xfId="0" applyFont="1" applyFill="1" applyBorder="1" applyAlignment="1">
      <alignment horizontal="right" vertical="center"/>
    </xf>
    <xf numFmtId="0" fontId="93" fillId="4" borderId="0" xfId="0" applyFont="1" applyFill="1" applyBorder="1" applyAlignment="1">
      <alignment horizontal="right" vertical="center"/>
    </xf>
    <xf numFmtId="0" fontId="93" fillId="4" borderId="57" xfId="0" applyFont="1" applyFill="1" applyBorder="1" applyAlignment="1">
      <alignment horizontal="right" vertical="center"/>
    </xf>
    <xf numFmtId="0" fontId="93" fillId="4" borderId="29" xfId="0" applyFont="1" applyFill="1" applyBorder="1" applyAlignment="1">
      <alignment horizontal="right" vertical="center"/>
    </xf>
    <xf numFmtId="0" fontId="507" fillId="0" borderId="6" xfId="1" applyFont="1" applyBorder="1" applyAlignment="1">
      <alignment horizontal="center" vertical="center"/>
    </xf>
    <xf numFmtId="0" fontId="507" fillId="0" borderId="0" xfId="1" applyFont="1" applyBorder="1" applyAlignment="1">
      <alignment horizontal="center" vertical="center"/>
    </xf>
    <xf numFmtId="0" fontId="507" fillId="0" borderId="5" xfId="1" applyFont="1" applyBorder="1" applyAlignment="1">
      <alignment horizontal="center" vertical="center"/>
    </xf>
    <xf numFmtId="0" fontId="211" fillId="4" borderId="0" xfId="1" applyFont="1" applyFill="1" applyBorder="1" applyAlignment="1">
      <alignment horizontal="left" vertical="center" wrapText="1"/>
    </xf>
    <xf numFmtId="0" fontId="211" fillId="4" borderId="5" xfId="1" applyFont="1" applyFill="1" applyBorder="1" applyAlignment="1">
      <alignment horizontal="left" vertical="center" wrapText="1"/>
    </xf>
    <xf numFmtId="0" fontId="506" fillId="4" borderId="6" xfId="1" applyFont="1" applyFill="1" applyBorder="1" applyAlignment="1">
      <alignment horizontal="center" vertical="center"/>
    </xf>
    <xf numFmtId="0" fontId="17" fillId="4" borderId="0" xfId="1" applyFont="1" applyFill="1" applyBorder="1" applyAlignment="1">
      <alignment horizontal="left" vertical="center" wrapText="1"/>
    </xf>
    <xf numFmtId="0" fontId="17" fillId="4" borderId="5" xfId="1" applyFont="1" applyFill="1" applyBorder="1" applyAlignment="1">
      <alignment horizontal="left" vertical="center" wrapText="1"/>
    </xf>
    <xf numFmtId="0" fontId="77" fillId="0" borderId="6" xfId="0" applyFont="1" applyBorder="1" applyAlignment="1">
      <alignment horizontal="center" wrapText="1"/>
    </xf>
    <xf numFmtId="0" fontId="77" fillId="0" borderId="0" xfId="0" applyFont="1" applyBorder="1" applyAlignment="1">
      <alignment horizontal="center" wrapText="1"/>
    </xf>
    <xf numFmtId="0" fontId="77" fillId="0" borderId="5" xfId="0" applyFont="1" applyBorder="1" applyAlignment="1">
      <alignment horizontal="center" wrapText="1"/>
    </xf>
    <xf numFmtId="0" fontId="52" fillId="4" borderId="40" xfId="0" applyFont="1" applyFill="1" applyBorder="1" applyAlignment="1">
      <alignment horizontal="center" vertical="center"/>
    </xf>
    <xf numFmtId="0" fontId="52" fillId="4" borderId="41" xfId="0" applyFont="1" applyFill="1" applyBorder="1" applyAlignment="1">
      <alignment horizontal="center" vertical="center"/>
    </xf>
    <xf numFmtId="0" fontId="92" fillId="4" borderId="27" xfId="1" applyFont="1" applyFill="1" applyBorder="1" applyAlignment="1">
      <alignment horizontal="center" vertical="center"/>
    </xf>
    <xf numFmtId="0" fontId="92" fillId="4" borderId="25" xfId="1" applyFont="1" applyFill="1" applyBorder="1" applyAlignment="1">
      <alignment horizontal="center" vertical="center"/>
    </xf>
    <xf numFmtId="0" fontId="506" fillId="13" borderId="6" xfId="1" applyFont="1" applyFill="1" applyBorder="1" applyAlignment="1">
      <alignment horizontal="center" vertical="center"/>
    </xf>
    <xf numFmtId="0" fontId="11" fillId="13" borderId="0" xfId="1" applyFont="1" applyFill="1" applyBorder="1" applyAlignment="1">
      <alignment horizontal="center" vertical="center"/>
    </xf>
    <xf numFmtId="219" fontId="11" fillId="13" borderId="0" xfId="1" applyNumberFormat="1" applyFont="1" applyFill="1" applyBorder="1" applyAlignment="1">
      <alignment horizontal="center" vertical="center"/>
    </xf>
    <xf numFmtId="164" fontId="509" fillId="21" borderId="0" xfId="3" applyNumberFormat="1" applyFont="1" applyFill="1" applyBorder="1" applyAlignment="1">
      <alignment horizontal="center" vertical="center"/>
    </xf>
    <xf numFmtId="201" fontId="36" fillId="46" borderId="5" xfId="1" applyNumberFormat="1" applyFont="1" applyFill="1" applyBorder="1" applyAlignment="1">
      <alignment horizontal="center" vertical="center"/>
    </xf>
    <xf numFmtId="0" fontId="504" fillId="21" borderId="6" xfId="1" applyFont="1" applyFill="1" applyBorder="1" applyAlignment="1">
      <alignment horizontal="center" vertical="center"/>
    </xf>
    <xf numFmtId="219" fontId="12" fillId="21" borderId="0" xfId="1" applyNumberFormat="1" applyFont="1" applyFill="1" applyBorder="1" applyAlignment="1">
      <alignment horizontal="center" vertical="center"/>
    </xf>
    <xf numFmtId="164" fontId="11" fillId="7" borderId="0" xfId="3" applyNumberFormat="1" applyFont="1" applyFill="1" applyBorder="1" applyAlignment="1">
      <alignment horizontal="center" vertical="center"/>
    </xf>
    <xf numFmtId="201" fontId="372" fillId="46" borderId="5" xfId="1" applyNumberFormat="1" applyFont="1" applyFill="1" applyBorder="1" applyAlignment="1">
      <alignment horizontal="center" vertical="center"/>
    </xf>
    <xf numFmtId="0" fontId="264" fillId="4" borderId="6" xfId="3" applyNumberFormat="1" applyFont="1" applyFill="1" applyBorder="1" applyAlignment="1">
      <alignment horizontal="center" vertical="center"/>
    </xf>
    <xf numFmtId="0" fontId="264" fillId="4" borderId="0" xfId="3" applyNumberFormat="1" applyFont="1" applyFill="1" applyBorder="1" applyAlignment="1">
      <alignment horizontal="center" vertical="center"/>
    </xf>
    <xf numFmtId="0" fontId="264" fillId="4" borderId="5" xfId="3" applyNumberFormat="1" applyFont="1" applyFill="1" applyBorder="1" applyAlignment="1">
      <alignment horizontal="center" vertical="center"/>
    </xf>
    <xf numFmtId="0" fontId="501" fillId="4" borderId="6" xfId="1" applyFont="1" applyFill="1" applyBorder="1" applyAlignment="1">
      <alignment horizontal="center" vertical="center" wrapText="1"/>
    </xf>
    <xf numFmtId="0" fontId="501" fillId="4" borderId="0" xfId="1" applyFont="1" applyFill="1" applyBorder="1" applyAlignment="1">
      <alignment horizontal="center" vertical="center" wrapText="1"/>
    </xf>
    <xf numFmtId="0" fontId="501" fillId="4" borderId="5" xfId="1" applyFont="1" applyFill="1" applyBorder="1" applyAlignment="1">
      <alignment horizontal="center" vertical="center" wrapText="1"/>
    </xf>
    <xf numFmtId="0" fontId="501" fillId="4" borderId="150" xfId="1" applyFont="1" applyFill="1" applyBorder="1" applyAlignment="1">
      <alignment horizontal="center" vertical="center" wrapText="1"/>
    </xf>
    <xf numFmtId="0" fontId="501" fillId="4" borderId="1" xfId="1" applyFont="1" applyFill="1" applyBorder="1" applyAlignment="1">
      <alignment horizontal="center" vertical="center" wrapText="1"/>
    </xf>
    <xf numFmtId="0" fontId="501" fillId="4" borderId="149" xfId="1" applyFont="1" applyFill="1" applyBorder="1" applyAlignment="1">
      <alignment horizontal="center" vertical="center" wrapText="1"/>
    </xf>
    <xf numFmtId="0" fontId="415" fillId="23" borderId="6" xfId="3" applyNumberFormat="1" applyFont="1" applyFill="1" applyBorder="1" applyAlignment="1">
      <alignment horizontal="center" vertical="center" wrapText="1"/>
    </xf>
    <xf numFmtId="0" fontId="415" fillId="23" borderId="0" xfId="3" applyNumberFormat="1" applyFont="1" applyFill="1" applyBorder="1" applyAlignment="1">
      <alignment horizontal="center" vertical="center" wrapText="1"/>
    </xf>
    <xf numFmtId="0" fontId="92" fillId="4" borderId="6" xfId="1" applyFont="1" applyFill="1" applyBorder="1" applyAlignment="1">
      <alignment horizontal="center" vertical="center"/>
    </xf>
    <xf numFmtId="0" fontId="92" fillId="4" borderId="0" xfId="1" applyFont="1" applyFill="1" applyBorder="1" applyAlignment="1">
      <alignment horizontal="center" vertical="center"/>
    </xf>
    <xf numFmtId="0" fontId="92" fillId="4" borderId="5" xfId="1" applyFont="1" applyFill="1" applyBorder="1" applyAlignment="1">
      <alignment horizontal="center" vertical="center"/>
    </xf>
    <xf numFmtId="0" fontId="57" fillId="4" borderId="0" xfId="3" applyNumberFormat="1" applyFont="1" applyFill="1" applyBorder="1" applyAlignment="1">
      <alignment horizontal="center" vertical="center" wrapText="1"/>
    </xf>
    <xf numFmtId="0" fontId="503" fillId="7" borderId="0" xfId="1" applyFont="1" applyFill="1" applyBorder="1" applyAlignment="1">
      <alignment horizontal="center" vertical="center" wrapText="1"/>
    </xf>
    <xf numFmtId="0" fontId="26" fillId="4" borderId="5" xfId="3" applyNumberFormat="1" applyFont="1" applyFill="1" applyBorder="1" applyAlignment="1">
      <alignment horizontal="center" vertical="center" wrapText="1"/>
    </xf>
    <xf numFmtId="0" fontId="12" fillId="21" borderId="6" xfId="1" applyFont="1" applyFill="1" applyBorder="1" applyAlignment="1">
      <alignment horizontal="center" vertical="center"/>
    </xf>
    <xf numFmtId="0" fontId="502" fillId="13" borderId="0" xfId="1" applyFont="1" applyFill="1" applyBorder="1" applyAlignment="1">
      <alignment horizontal="center" vertical="center"/>
    </xf>
    <xf numFmtId="201" fontId="17" fillId="46" borderId="0" xfId="1" applyNumberFormat="1" applyFont="1" applyFill="1" applyBorder="1" applyAlignment="1">
      <alignment horizontal="center" vertical="center"/>
    </xf>
    <xf numFmtId="201" fontId="17" fillId="46" borderId="5" xfId="1" applyNumberFormat="1" applyFont="1" applyFill="1" applyBorder="1" applyAlignment="1">
      <alignment horizontal="center" vertical="center"/>
    </xf>
    <xf numFmtId="0" fontId="26" fillId="4" borderId="6" xfId="3" applyNumberFormat="1" applyFont="1" applyFill="1" applyBorder="1" applyAlignment="1">
      <alignment horizontal="center" vertical="center" wrapText="1"/>
    </xf>
    <xf numFmtId="0" fontId="26" fillId="4" borderId="0" xfId="3" applyNumberFormat="1" applyFont="1" applyFill="1" applyBorder="1" applyAlignment="1">
      <alignment horizontal="center" vertical="center" wrapText="1"/>
    </xf>
    <xf numFmtId="0" fontId="26" fillId="4" borderId="6" xfId="3" applyNumberFormat="1" applyFont="1" applyFill="1" applyBorder="1" applyAlignment="1">
      <alignment horizontal="center" vertical="center"/>
    </xf>
    <xf numFmtId="0" fontId="26" fillId="4" borderId="0" xfId="3" applyNumberFormat="1" applyFont="1" applyFill="1" applyBorder="1" applyAlignment="1">
      <alignment horizontal="center" vertical="center"/>
    </xf>
    <xf numFmtId="0" fontId="26" fillId="4" borderId="5" xfId="3" applyNumberFormat="1" applyFont="1" applyFill="1" applyBorder="1" applyAlignment="1">
      <alignment horizontal="center" vertical="center"/>
    </xf>
    <xf numFmtId="0" fontId="0" fillId="22" borderId="0" xfId="0" applyFill="1" applyBorder="1" applyAlignment="1">
      <alignment horizontal="center"/>
    </xf>
    <xf numFmtId="219" fontId="211" fillId="22" borderId="0" xfId="1" applyNumberFormat="1" applyFont="1" applyFill="1" applyBorder="1" applyAlignment="1">
      <alignment horizontal="center" vertical="center"/>
    </xf>
    <xf numFmtId="0" fontId="70" fillId="23" borderId="6" xfId="3" applyNumberFormat="1" applyFont="1" applyFill="1" applyBorder="1" applyAlignment="1">
      <alignment horizontal="center" vertical="center"/>
    </xf>
    <xf numFmtId="0" fontId="70" fillId="23" borderId="0" xfId="3" applyNumberFormat="1" applyFont="1" applyFill="1" applyBorder="1" applyAlignment="1">
      <alignment horizontal="center" vertical="center"/>
    </xf>
    <xf numFmtId="0" fontId="70" fillId="23" borderId="5" xfId="3" applyNumberFormat="1" applyFont="1" applyFill="1" applyBorder="1" applyAlignment="1">
      <alignment horizontal="center" vertical="center"/>
    </xf>
    <xf numFmtId="0" fontId="17" fillId="4" borderId="0" xfId="3" applyNumberFormat="1" applyFont="1" applyFill="1" applyBorder="1" applyAlignment="1">
      <alignment horizontal="center" vertical="top" wrapText="1"/>
    </xf>
    <xf numFmtId="0" fontId="26" fillId="4" borderId="5" xfId="3" applyNumberFormat="1" applyFont="1" applyFill="1" applyBorder="1" applyAlignment="1">
      <alignment horizontal="center" vertical="top" wrapText="1"/>
    </xf>
    <xf numFmtId="0" fontId="77" fillId="4" borderId="6" xfId="0" applyFont="1" applyFill="1" applyBorder="1" applyAlignment="1">
      <alignment horizontal="center" vertical="center"/>
    </xf>
    <xf numFmtId="0" fontId="77" fillId="4" borderId="0" xfId="0" applyFont="1" applyFill="1" applyBorder="1" applyAlignment="1">
      <alignment horizontal="center" vertical="center"/>
    </xf>
    <xf numFmtId="0" fontId="77" fillId="4" borderId="5" xfId="0" applyFont="1" applyFill="1" applyBorder="1" applyAlignment="1">
      <alignment horizontal="center" vertical="center"/>
    </xf>
    <xf numFmtId="0" fontId="77" fillId="4" borderId="150" xfId="0" applyFont="1" applyFill="1" applyBorder="1" applyAlignment="1">
      <alignment horizontal="center" vertical="center"/>
    </xf>
    <xf numFmtId="0" fontId="77" fillId="4" borderId="1" xfId="0" applyFont="1" applyFill="1" applyBorder="1" applyAlignment="1">
      <alignment horizontal="center" vertical="center"/>
    </xf>
    <xf numFmtId="0" fontId="77" fillId="4" borderId="149" xfId="0" applyFont="1" applyFill="1" applyBorder="1" applyAlignment="1">
      <alignment horizontal="center" vertical="center"/>
    </xf>
    <xf numFmtId="0" fontId="70" fillId="23" borderId="53" xfId="3" applyNumberFormat="1" applyFont="1" applyFill="1" applyBorder="1" applyAlignment="1">
      <alignment horizontal="center" vertical="center" wrapText="1"/>
    </xf>
    <xf numFmtId="0" fontId="70" fillId="23" borderId="9" xfId="3" applyNumberFormat="1" applyFont="1" applyFill="1" applyBorder="1" applyAlignment="1">
      <alignment horizontal="center" vertical="center" wrapText="1"/>
    </xf>
    <xf numFmtId="0" fontId="70" fillId="23" borderId="8" xfId="3" applyNumberFormat="1" applyFont="1" applyFill="1" applyBorder="1" applyAlignment="1">
      <alignment horizontal="center" vertical="center" wrapText="1"/>
    </xf>
    <xf numFmtId="0" fontId="70" fillId="23" borderId="6" xfId="3" applyNumberFormat="1" applyFont="1" applyFill="1" applyBorder="1" applyAlignment="1">
      <alignment horizontal="center" vertical="center" wrapText="1"/>
    </xf>
    <xf numFmtId="0" fontId="70" fillId="23" borderId="0" xfId="3" applyNumberFormat="1" applyFont="1" applyFill="1" applyBorder="1" applyAlignment="1">
      <alignment horizontal="center" vertical="center" wrapText="1"/>
    </xf>
    <xf numFmtId="0" fontId="70" fillId="23" borderId="5" xfId="3" applyNumberFormat="1" applyFont="1" applyFill="1" applyBorder="1" applyAlignment="1">
      <alignment horizontal="center" vertical="center" wrapText="1"/>
    </xf>
    <xf numFmtId="0" fontId="496" fillId="4" borderId="6" xfId="1" applyFont="1" applyFill="1" applyBorder="1" applyAlignment="1">
      <alignment horizontal="center" vertical="center" wrapText="1"/>
    </xf>
    <xf numFmtId="0" fontId="496" fillId="4" borderId="0" xfId="1" applyFont="1" applyFill="1" applyBorder="1" applyAlignment="1">
      <alignment horizontal="center" vertical="center" wrapText="1"/>
    </xf>
    <xf numFmtId="0" fontId="496" fillId="4" borderId="150" xfId="1" applyFont="1" applyFill="1" applyBorder="1" applyAlignment="1">
      <alignment horizontal="center" vertical="center" wrapText="1"/>
    </xf>
    <xf numFmtId="0" fontId="496" fillId="4" borderId="1" xfId="1" applyFont="1" applyFill="1" applyBorder="1" applyAlignment="1">
      <alignment horizontal="center" vertical="center" wrapText="1"/>
    </xf>
    <xf numFmtId="201" fontId="26" fillId="22" borderId="0" xfId="1" applyNumberFormat="1" applyFont="1" applyFill="1" applyBorder="1" applyAlignment="1">
      <alignment horizontal="center" vertical="center"/>
    </xf>
    <xf numFmtId="2" fontId="275" fillId="22" borderId="5" xfId="1" applyNumberFormat="1" applyFont="1" applyFill="1" applyBorder="1" applyAlignment="1">
      <alignment horizontal="center" vertical="center"/>
    </xf>
    <xf numFmtId="0" fontId="87" fillId="4" borderId="6" xfId="11" applyFont="1" applyFill="1" applyBorder="1" applyAlignment="1">
      <alignment horizontal="center" vertical="center" wrapText="1"/>
    </xf>
    <xf numFmtId="0" fontId="87" fillId="4" borderId="0" xfId="11" applyFont="1" applyFill="1" applyBorder="1" applyAlignment="1">
      <alignment horizontal="center" vertical="center" wrapText="1"/>
    </xf>
    <xf numFmtId="0" fontId="87" fillId="4" borderId="5" xfId="11" applyFont="1" applyFill="1" applyBorder="1" applyAlignment="1">
      <alignment horizontal="center" vertical="center" wrapText="1"/>
    </xf>
    <xf numFmtId="0" fontId="11" fillId="4" borderId="6" xfId="3" applyNumberFormat="1" applyFont="1" applyFill="1" applyBorder="1" applyAlignment="1">
      <alignment horizontal="center" vertical="center"/>
    </xf>
    <xf numFmtId="0" fontId="11" fillId="4" borderId="0" xfId="3" applyNumberFormat="1" applyFont="1" applyFill="1" applyBorder="1" applyAlignment="1">
      <alignment horizontal="center" vertical="center"/>
    </xf>
    <xf numFmtId="0" fontId="11" fillId="4" borderId="5" xfId="3" applyNumberFormat="1" applyFont="1" applyFill="1" applyBorder="1" applyAlignment="1">
      <alignment horizontal="center" vertical="center"/>
    </xf>
    <xf numFmtId="164" fontId="17" fillId="22" borderId="0" xfId="3" applyNumberFormat="1" applyFont="1" applyFill="1" applyBorder="1" applyAlignment="1">
      <alignment horizontal="center" vertical="center"/>
    </xf>
    <xf numFmtId="0" fontId="246" fillId="87" borderId="5" xfId="1" applyFont="1" applyFill="1" applyBorder="1" applyAlignment="1">
      <alignment horizontal="center" vertical="center" textRotation="90"/>
    </xf>
    <xf numFmtId="0" fontId="26" fillId="22" borderId="0" xfId="1" applyFont="1" applyFill="1" applyBorder="1" applyAlignment="1">
      <alignment horizontal="center" vertical="center"/>
    </xf>
    <xf numFmtId="164" fontId="12" fillId="21" borderId="0" xfId="3" applyNumberFormat="1" applyFont="1" applyFill="1" applyBorder="1" applyAlignment="1">
      <alignment horizontal="center" vertical="center"/>
    </xf>
    <xf numFmtId="0" fontId="26" fillId="4" borderId="6" xfId="3" applyNumberFormat="1" applyFont="1" applyFill="1" applyBorder="1" applyAlignment="1">
      <alignment horizontal="center" vertical="top" wrapText="1"/>
    </xf>
    <xf numFmtId="0" fontId="26" fillId="4" borderId="0" xfId="3" applyNumberFormat="1" applyFont="1" applyFill="1" applyBorder="1" applyAlignment="1">
      <alignment horizontal="center" vertical="top" wrapText="1"/>
    </xf>
    <xf numFmtId="0" fontId="57" fillId="4" borderId="0" xfId="1" applyFont="1" applyFill="1" applyBorder="1" applyAlignment="1">
      <alignment horizontal="center" vertical="top" wrapText="1"/>
    </xf>
    <xf numFmtId="0" fontId="9" fillId="4" borderId="0" xfId="1" applyFont="1" applyFill="1" applyBorder="1" applyAlignment="1">
      <alignment horizontal="center" vertical="center" wrapText="1"/>
    </xf>
    <xf numFmtId="0" fontId="17" fillId="4" borderId="0" xfId="1" applyFont="1" applyFill="1" applyBorder="1" applyAlignment="1">
      <alignment horizontal="center" vertical="center" wrapText="1"/>
    </xf>
    <xf numFmtId="0" fontId="495" fillId="4" borderId="53" xfId="1" applyFont="1" applyFill="1" applyBorder="1" applyAlignment="1">
      <alignment horizontal="center" vertical="center"/>
    </xf>
    <xf numFmtId="0" fontId="495" fillId="4" borderId="9" xfId="1" applyFont="1" applyFill="1" applyBorder="1" applyAlignment="1">
      <alignment horizontal="center" vertical="center"/>
    </xf>
    <xf numFmtId="0" fontId="495" fillId="4" borderId="8" xfId="1" applyFont="1" applyFill="1" applyBorder="1" applyAlignment="1">
      <alignment horizontal="center" vertical="center"/>
    </xf>
    <xf numFmtId="0" fontId="93" fillId="4" borderId="6" xfId="0" applyFont="1" applyFill="1" applyBorder="1" applyAlignment="1">
      <alignment horizontal="center" vertical="center" wrapText="1"/>
    </xf>
    <xf numFmtId="0" fontId="93" fillId="4" borderId="0" xfId="0" applyFont="1" applyFill="1" applyBorder="1" applyAlignment="1">
      <alignment horizontal="center" vertical="center" wrapText="1"/>
    </xf>
    <xf numFmtId="0" fontId="93" fillId="4" borderId="5" xfId="0" applyFont="1" applyFill="1" applyBorder="1" applyAlignment="1">
      <alignment horizontal="center" vertical="center" wrapText="1"/>
    </xf>
    <xf numFmtId="0" fontId="93" fillId="4" borderId="150" xfId="0" applyFont="1" applyFill="1" applyBorder="1" applyAlignment="1">
      <alignment horizontal="center" vertical="center" wrapText="1"/>
    </xf>
    <xf numFmtId="0" fontId="93" fillId="4" borderId="1" xfId="0" applyFont="1" applyFill="1" applyBorder="1" applyAlignment="1">
      <alignment horizontal="center" vertical="center" wrapText="1"/>
    </xf>
    <xf numFmtId="0" fontId="93" fillId="4" borderId="149" xfId="0" applyFont="1" applyFill="1" applyBorder="1" applyAlignment="1">
      <alignment horizontal="center" vertical="center" wrapText="1"/>
    </xf>
    <xf numFmtId="0" fontId="42" fillId="21" borderId="6" xfId="1" applyFont="1" applyFill="1" applyBorder="1" applyAlignment="1">
      <alignment horizontal="center" vertical="center"/>
    </xf>
    <xf numFmtId="0" fontId="42" fillId="21" borderId="188" xfId="1" applyFont="1" applyFill="1" applyBorder="1" applyAlignment="1">
      <alignment horizontal="center" vertical="center"/>
    </xf>
    <xf numFmtId="219" fontId="42" fillId="21" borderId="0" xfId="1" applyNumberFormat="1" applyFont="1" applyFill="1" applyBorder="1" applyAlignment="1">
      <alignment horizontal="center" vertical="center"/>
    </xf>
    <xf numFmtId="219" fontId="42" fillId="21" borderId="186" xfId="1" applyNumberFormat="1" applyFont="1" applyFill="1" applyBorder="1" applyAlignment="1">
      <alignment horizontal="center" vertical="center"/>
    </xf>
    <xf numFmtId="0" fontId="26" fillId="22" borderId="186" xfId="1" applyFont="1" applyFill="1" applyBorder="1" applyAlignment="1">
      <alignment horizontal="center" vertical="center"/>
    </xf>
    <xf numFmtId="2" fontId="17" fillId="22" borderId="0" xfId="1" applyNumberFormat="1" applyFont="1" applyFill="1" applyBorder="1" applyAlignment="1">
      <alignment horizontal="center" vertical="center"/>
    </xf>
    <xf numFmtId="2" fontId="17" fillId="22" borderId="186" xfId="1" applyNumberFormat="1" applyFont="1" applyFill="1" applyBorder="1" applyAlignment="1">
      <alignment horizontal="center" vertical="center"/>
    </xf>
    <xf numFmtId="0" fontId="491" fillId="4" borderId="27" xfId="1" applyFont="1" applyFill="1" applyBorder="1" applyAlignment="1">
      <alignment horizontal="center" vertical="center" wrapText="1"/>
    </xf>
    <xf numFmtId="0" fontId="491" fillId="4" borderId="26" xfId="1" applyFont="1" applyFill="1" applyBorder="1" applyAlignment="1">
      <alignment horizontal="center" vertical="center" wrapText="1"/>
    </xf>
    <xf numFmtId="0" fontId="491" fillId="4" borderId="25" xfId="1" applyFont="1" applyFill="1" applyBorder="1" applyAlignment="1">
      <alignment horizontal="center" vertical="center" wrapText="1"/>
    </xf>
    <xf numFmtId="0" fontId="415" fillId="23" borderId="53" xfId="3" applyNumberFormat="1" applyFont="1" applyFill="1" applyBorder="1" applyAlignment="1">
      <alignment horizontal="center" vertical="center"/>
    </xf>
    <xf numFmtId="0" fontId="415" fillId="23" borderId="9" xfId="3" applyNumberFormat="1" applyFont="1" applyFill="1" applyBorder="1" applyAlignment="1">
      <alignment horizontal="center" vertical="center"/>
    </xf>
    <xf numFmtId="0" fontId="415" fillId="23" borderId="8" xfId="3" applyNumberFormat="1" applyFont="1" applyFill="1" applyBorder="1" applyAlignment="1">
      <alignment horizontal="center" vertical="center"/>
    </xf>
    <xf numFmtId="0" fontId="415" fillId="23" borderId="6" xfId="3" applyNumberFormat="1" applyFont="1" applyFill="1" applyBorder="1" applyAlignment="1">
      <alignment horizontal="center" vertical="center"/>
    </xf>
    <xf numFmtId="0" fontId="415" fillId="23" borderId="0" xfId="3" applyNumberFormat="1" applyFont="1" applyFill="1" applyBorder="1" applyAlignment="1">
      <alignment horizontal="center" vertical="center"/>
    </xf>
    <xf numFmtId="0" fontId="415" fillId="23" borderId="5" xfId="3" applyNumberFormat="1" applyFont="1" applyFill="1" applyBorder="1" applyAlignment="1">
      <alignment horizontal="center" vertical="center"/>
    </xf>
    <xf numFmtId="2" fontId="246" fillId="4" borderId="316" xfId="1" applyNumberFormat="1" applyFont="1" applyFill="1" applyBorder="1" applyAlignment="1">
      <alignment horizontal="center" vertical="center"/>
    </xf>
    <xf numFmtId="2" fontId="246" fillId="4" borderId="311" xfId="1" applyNumberFormat="1" applyFont="1" applyFill="1" applyBorder="1" applyAlignment="1">
      <alignment horizontal="center" vertical="center"/>
    </xf>
    <xf numFmtId="0" fontId="11" fillId="22" borderId="0" xfId="3" applyFont="1" applyFill="1" applyBorder="1" applyAlignment="1">
      <alignment horizontal="right" vertical="center"/>
    </xf>
    <xf numFmtId="3" fontId="169" fillId="21" borderId="0" xfId="3" applyNumberFormat="1" applyFont="1" applyFill="1" applyBorder="1" applyAlignment="1">
      <alignment horizontal="center" vertical="center"/>
    </xf>
    <xf numFmtId="164" fontId="25" fillId="22" borderId="0" xfId="3" applyNumberFormat="1" applyFont="1" applyFill="1" applyBorder="1" applyAlignment="1">
      <alignment horizontal="center" vertical="center"/>
    </xf>
    <xf numFmtId="0" fontId="11" fillId="22" borderId="5" xfId="3" applyFont="1" applyFill="1" applyBorder="1" applyAlignment="1">
      <alignment horizontal="center" vertical="center"/>
    </xf>
    <xf numFmtId="3" fontId="498" fillId="21" borderId="188" xfId="3" applyNumberFormat="1" applyFont="1" applyFill="1" applyBorder="1" applyAlignment="1">
      <alignment horizontal="center" vertical="center"/>
    </xf>
    <xf numFmtId="3" fontId="498" fillId="21" borderId="186" xfId="3" applyNumberFormat="1" applyFont="1" applyFill="1" applyBorder="1" applyAlignment="1">
      <alignment horizontal="center" vertical="center"/>
    </xf>
    <xf numFmtId="3" fontId="498" fillId="21" borderId="189" xfId="3" applyNumberFormat="1" applyFont="1" applyFill="1" applyBorder="1" applyAlignment="1">
      <alignment horizontal="center" vertical="center"/>
    </xf>
    <xf numFmtId="0" fontId="118" fillId="87" borderId="5" xfId="1" applyFont="1" applyFill="1" applyBorder="1" applyAlignment="1">
      <alignment horizontal="center" vertical="center" textRotation="90"/>
    </xf>
    <xf numFmtId="0" fontId="11" fillId="4" borderId="6" xfId="1" applyFont="1" applyFill="1" applyBorder="1" applyAlignment="1">
      <alignment horizontal="center" vertical="center" wrapText="1"/>
    </xf>
    <xf numFmtId="0" fontId="11" fillId="4" borderId="0" xfId="1" applyFont="1" applyFill="1" applyBorder="1" applyAlignment="1">
      <alignment horizontal="center" vertical="center" wrapText="1"/>
    </xf>
    <xf numFmtId="0" fontId="11" fillId="4" borderId="5" xfId="1" applyFont="1" applyFill="1" applyBorder="1" applyAlignment="1">
      <alignment horizontal="center" vertical="center" wrapText="1"/>
    </xf>
    <xf numFmtId="0" fontId="415" fillId="23" borderId="53" xfId="1" applyFont="1" applyFill="1" applyBorder="1" applyAlignment="1" applyProtection="1">
      <alignment horizontal="center" vertical="center"/>
      <protection hidden="1"/>
    </xf>
    <xf numFmtId="0" fontId="415" fillId="23" borderId="9" xfId="1" applyFont="1" applyFill="1" applyBorder="1" applyAlignment="1" applyProtection="1">
      <alignment horizontal="center" vertical="center"/>
      <protection hidden="1"/>
    </xf>
    <xf numFmtId="0" fontId="415" fillId="23" borderId="8" xfId="1" applyFont="1" applyFill="1" applyBorder="1" applyAlignment="1" applyProtection="1">
      <alignment horizontal="center" vertical="center"/>
      <protection hidden="1"/>
    </xf>
    <xf numFmtId="0" fontId="11" fillId="22" borderId="6" xfId="3" applyFont="1" applyFill="1" applyBorder="1" applyAlignment="1">
      <alignment horizontal="center" vertical="center" wrapText="1"/>
    </xf>
    <xf numFmtId="164" fontId="169" fillId="21" borderId="0" xfId="3" applyNumberFormat="1" applyFont="1" applyFill="1" applyBorder="1" applyAlignment="1">
      <alignment horizontal="center" vertical="center"/>
    </xf>
    <xf numFmtId="183" fontId="11" fillId="22" borderId="0" xfId="3" applyNumberFormat="1" applyFont="1" applyFill="1" applyBorder="1" applyAlignment="1">
      <alignment horizontal="right" vertical="center"/>
    </xf>
    <xf numFmtId="3" fontId="25" fillId="22" borderId="0" xfId="3" applyNumberFormat="1" applyFont="1" applyFill="1" applyBorder="1" applyAlignment="1">
      <alignment horizontal="center" vertical="center"/>
    </xf>
    <xf numFmtId="0" fontId="246" fillId="4" borderId="3" xfId="1" applyFont="1" applyFill="1" applyBorder="1" applyAlignment="1">
      <alignment horizontal="center" vertical="center"/>
    </xf>
    <xf numFmtId="0" fontId="246" fillId="4" borderId="152" xfId="1" applyFont="1" applyFill="1" applyBorder="1" applyAlignment="1">
      <alignment horizontal="center" vertical="center"/>
    </xf>
    <xf numFmtId="0" fontId="258" fillId="4" borderId="0" xfId="8" applyFont="1" applyFill="1" applyAlignment="1">
      <alignment horizontal="center" vertical="center"/>
    </xf>
    <xf numFmtId="0" fontId="258" fillId="4" borderId="0" xfId="8" applyFont="1" applyFill="1" applyAlignment="1">
      <alignment horizontal="center" vertical="center" wrapText="1"/>
    </xf>
    <xf numFmtId="0" fontId="258" fillId="4" borderId="0" xfId="8" applyFont="1" applyFill="1" applyBorder="1" applyAlignment="1">
      <alignment horizontal="center" vertical="center" wrapText="1"/>
    </xf>
    <xf numFmtId="0" fontId="89" fillId="4" borderId="0" xfId="8" applyFont="1" applyFill="1" applyBorder="1" applyAlignment="1">
      <alignment horizontal="center" vertical="center" wrapText="1"/>
    </xf>
    <xf numFmtId="0" fontId="25" fillId="46" borderId="0" xfId="0" applyFont="1" applyFill="1" applyBorder="1" applyAlignment="1">
      <alignment horizontal="center" vertical="center"/>
    </xf>
    <xf numFmtId="0" fontId="493" fillId="23" borderId="53" xfId="1" applyFont="1" applyFill="1" applyBorder="1" applyAlignment="1">
      <alignment horizontal="center"/>
    </xf>
    <xf numFmtId="0" fontId="493" fillId="23" borderId="9" xfId="1" applyFont="1" applyFill="1" applyBorder="1" applyAlignment="1">
      <alignment horizontal="center"/>
    </xf>
    <xf numFmtId="0" fontId="493" fillId="23" borderId="8" xfId="1" applyFont="1" applyFill="1" applyBorder="1" applyAlignment="1">
      <alignment horizontal="center"/>
    </xf>
    <xf numFmtId="0" fontId="481" fillId="4" borderId="0" xfId="11" applyFont="1" applyFill="1" applyAlignment="1">
      <alignment horizontal="center" vertical="center"/>
    </xf>
    <xf numFmtId="0" fontId="481" fillId="4" borderId="0" xfId="11" applyFont="1" applyFill="1" applyAlignment="1">
      <alignment horizontal="center" vertical="center" wrapText="1"/>
    </xf>
    <xf numFmtId="0" fontId="487" fillId="4" borderId="0" xfId="0" applyFont="1" applyFill="1" applyAlignment="1">
      <alignment horizontal="center" vertical="center" wrapText="1"/>
    </xf>
    <xf numFmtId="0" fontId="477" fillId="4" borderId="0" xfId="11" applyFont="1" applyFill="1" applyAlignment="1">
      <alignment horizontal="center" vertical="center" wrapText="1"/>
    </xf>
    <xf numFmtId="2" fontId="306" fillId="116" borderId="0" xfId="1" applyNumberFormat="1" applyFont="1" applyFill="1" applyBorder="1" applyAlignment="1" applyProtection="1">
      <alignment horizontal="center" vertical="center"/>
      <protection locked="0"/>
    </xf>
    <xf numFmtId="0" fontId="415" fillId="39" borderId="0" xfId="0" applyFont="1" applyFill="1" applyBorder="1" applyAlignment="1">
      <alignment horizontal="center" vertical="center"/>
    </xf>
    <xf numFmtId="0" fontId="11" fillId="46" borderId="0" xfId="3" applyNumberFormat="1" applyFont="1" applyFill="1" applyBorder="1" applyAlignment="1">
      <alignment horizontal="center" vertical="center" wrapText="1"/>
    </xf>
    <xf numFmtId="0" fontId="413" fillId="4" borderId="0" xfId="5" applyFont="1" applyFill="1" applyAlignment="1">
      <alignment horizontal="left" vertical="center"/>
    </xf>
    <xf numFmtId="0" fontId="414" fillId="4" borderId="0" xfId="5" applyFont="1" applyFill="1" applyAlignment="1">
      <alignment horizontal="left" vertical="center"/>
    </xf>
    <xf numFmtId="0" fontId="258" fillId="0" borderId="0" xfId="8" applyFont="1" applyAlignment="1">
      <alignment horizontal="left" vertical="center"/>
    </xf>
    <xf numFmtId="0" fontId="258" fillId="4" borderId="0" xfId="8" applyFont="1" applyFill="1" applyBorder="1" applyAlignment="1">
      <alignment horizontal="left" vertical="center"/>
    </xf>
    <xf numFmtId="0" fontId="219" fillId="4" borderId="0" xfId="8" applyFont="1" applyFill="1" applyAlignment="1">
      <alignment horizontal="left" vertical="center"/>
    </xf>
    <xf numFmtId="0" fontId="305" fillId="8" borderId="194" xfId="1" applyFont="1" applyFill="1" applyBorder="1" applyAlignment="1">
      <alignment horizontal="center" vertical="center"/>
    </xf>
    <xf numFmtId="0" fontId="305" fillId="8" borderId="6" xfId="1" applyFont="1" applyFill="1" applyBorder="1" applyAlignment="1">
      <alignment horizontal="center" vertical="center"/>
    </xf>
    <xf numFmtId="0" fontId="305" fillId="8" borderId="310" xfId="1" applyFont="1" applyFill="1" applyBorder="1" applyAlignment="1">
      <alignment horizontal="center" vertical="center"/>
    </xf>
    <xf numFmtId="0" fontId="312" fillId="8" borderId="3" xfId="1" applyNumberFormat="1" applyFont="1" applyFill="1" applyBorder="1" applyAlignment="1">
      <alignment horizontal="left" vertical="top" wrapText="1"/>
    </xf>
    <xf numFmtId="0" fontId="312" fillId="8" borderId="152" xfId="1" applyNumberFormat="1" applyFont="1" applyFill="1" applyBorder="1" applyAlignment="1">
      <alignment horizontal="left" vertical="top" wrapText="1"/>
    </xf>
    <xf numFmtId="0" fontId="312" fillId="8" borderId="0" xfId="1" applyNumberFormat="1" applyFont="1" applyFill="1" applyBorder="1" applyAlignment="1">
      <alignment horizontal="left" vertical="top" wrapText="1"/>
    </xf>
    <xf numFmtId="0" fontId="312" fillId="8" borderId="5" xfId="1" applyNumberFormat="1" applyFont="1" applyFill="1" applyBorder="1" applyAlignment="1">
      <alignment horizontal="left" vertical="top" wrapText="1"/>
    </xf>
    <xf numFmtId="0" fontId="312" fillId="8" borderId="316" xfId="1" applyNumberFormat="1" applyFont="1" applyFill="1" applyBorder="1" applyAlignment="1">
      <alignment horizontal="left" vertical="top" wrapText="1"/>
    </xf>
    <xf numFmtId="0" fontId="312" fillId="8" borderId="311" xfId="1" applyNumberFormat="1" applyFont="1" applyFill="1" applyBorder="1" applyAlignment="1">
      <alignment horizontal="left" vertical="top" wrapText="1"/>
    </xf>
    <xf numFmtId="0" fontId="305" fillId="8" borderId="150" xfId="1" applyFont="1" applyFill="1" applyBorder="1" applyAlignment="1">
      <alignment horizontal="center" vertical="center"/>
    </xf>
    <xf numFmtId="0" fontId="412" fillId="8" borderId="0" xfId="1" applyNumberFormat="1" applyFont="1" applyFill="1" applyBorder="1" applyAlignment="1">
      <alignment horizontal="left" vertical="top" wrapText="1"/>
    </xf>
    <xf numFmtId="0" fontId="412" fillId="8" borderId="5" xfId="1" applyNumberFormat="1" applyFont="1" applyFill="1" applyBorder="1" applyAlignment="1">
      <alignment horizontal="left" vertical="top" wrapText="1"/>
    </xf>
    <xf numFmtId="0" fontId="412" fillId="8" borderId="1" xfId="1" applyNumberFormat="1" applyFont="1" applyFill="1" applyBorder="1" applyAlignment="1">
      <alignment horizontal="left" vertical="top" wrapText="1"/>
    </xf>
    <xf numFmtId="0" fontId="412" fillId="8" borderId="149" xfId="1" applyNumberFormat="1" applyFont="1" applyFill="1" applyBorder="1" applyAlignment="1">
      <alignment horizontal="left" vertical="top" wrapText="1"/>
    </xf>
    <xf numFmtId="0" fontId="301" fillId="7" borderId="9" xfId="1" applyFont="1" applyFill="1" applyBorder="1" applyAlignment="1">
      <alignment horizontal="center" vertical="center"/>
    </xf>
    <xf numFmtId="0" fontId="301" fillId="7" borderId="8" xfId="1" applyFont="1" applyFill="1" applyBorder="1" applyAlignment="1">
      <alignment horizontal="center" vertical="center"/>
    </xf>
    <xf numFmtId="0" fontId="306" fillId="4" borderId="0" xfId="1" applyFont="1" applyFill="1" applyBorder="1" applyAlignment="1">
      <alignment horizontal="center" vertical="center"/>
    </xf>
    <xf numFmtId="0" fontId="306" fillId="4" borderId="5" xfId="1" applyFont="1" applyFill="1" applyBorder="1" applyAlignment="1">
      <alignment horizontal="center" vertical="center"/>
    </xf>
    <xf numFmtId="0" fontId="307" fillId="86" borderId="0" xfId="1" applyFont="1" applyFill="1" applyBorder="1" applyAlignment="1">
      <alignment horizontal="left" vertical="center"/>
    </xf>
    <xf numFmtId="0" fontId="307" fillId="86" borderId="5" xfId="1" applyFont="1" applyFill="1" applyBorder="1" applyAlignment="1">
      <alignment horizontal="left" vertical="center"/>
    </xf>
    <xf numFmtId="0" fontId="25" fillId="0" borderId="0" xfId="1" applyFont="1" applyBorder="1" applyAlignment="1">
      <alignment horizontal="center" vertical="center"/>
    </xf>
    <xf numFmtId="0" fontId="25" fillId="0" borderId="5" xfId="1" applyFont="1" applyBorder="1" applyAlignment="1">
      <alignment horizontal="center" vertical="center"/>
    </xf>
    <xf numFmtId="0" fontId="299" fillId="94" borderId="6" xfId="1" applyFont="1" applyFill="1" applyBorder="1" applyAlignment="1">
      <alignment horizontal="center" vertical="center"/>
    </xf>
    <xf numFmtId="0" fontId="411" fillId="85" borderId="0" xfId="1" applyNumberFormat="1" applyFont="1" applyFill="1" applyBorder="1" applyAlignment="1">
      <alignment horizontal="left" vertical="top" wrapText="1"/>
    </xf>
    <xf numFmtId="0" fontId="411" fillId="85" borderId="5" xfId="1" applyNumberFormat="1" applyFont="1" applyFill="1" applyBorder="1" applyAlignment="1">
      <alignment horizontal="left" vertical="top" wrapText="1"/>
    </xf>
    <xf numFmtId="0" fontId="42" fillId="36" borderId="144" xfId="2" applyFont="1" applyFill="1" applyBorder="1" applyAlignment="1">
      <alignment horizontal="center" vertical="center" wrapText="1"/>
    </xf>
    <xf numFmtId="0" fontId="42" fillId="36" borderId="0" xfId="2" applyFont="1" applyFill="1" applyBorder="1" applyAlignment="1">
      <alignment horizontal="center" vertical="center" wrapText="1"/>
    </xf>
    <xf numFmtId="0" fontId="42" fillId="36" borderId="180" xfId="2" applyFont="1" applyFill="1" applyBorder="1" applyAlignment="1">
      <alignment horizontal="center" vertical="center" wrapText="1"/>
    </xf>
    <xf numFmtId="0" fontId="174" fillId="87" borderId="0" xfId="8" applyFont="1" applyFill="1" applyAlignment="1">
      <alignment horizontal="left" vertical="center"/>
    </xf>
    <xf numFmtId="0" fontId="174" fillId="37" borderId="0" xfId="8" applyFont="1" applyFill="1" applyAlignment="1" applyProtection="1">
      <alignment horizontal="left" vertical="center"/>
      <protection hidden="1"/>
    </xf>
    <xf numFmtId="0" fontId="88" fillId="2" borderId="144" xfId="2" applyFont="1" applyFill="1" applyBorder="1" applyAlignment="1">
      <alignment horizontal="center" vertical="center" wrapText="1"/>
    </xf>
    <xf numFmtId="0" fontId="88" fillId="2" borderId="0" xfId="2" applyFont="1" applyFill="1" applyBorder="1" applyAlignment="1">
      <alignment horizontal="center" vertical="center" wrapText="1"/>
    </xf>
    <xf numFmtId="0" fontId="88" fillId="2" borderId="180" xfId="2" applyFont="1" applyFill="1" applyBorder="1" applyAlignment="1">
      <alignment horizontal="center" vertical="center" wrapText="1"/>
    </xf>
    <xf numFmtId="0" fontId="88" fillId="2" borderId="309" xfId="2" applyFont="1" applyFill="1" applyBorder="1" applyAlignment="1">
      <alignment horizontal="center" vertical="center" wrapText="1"/>
    </xf>
    <xf numFmtId="0" fontId="88" fillId="2" borderId="316" xfId="2" applyFont="1" applyFill="1" applyBorder="1" applyAlignment="1">
      <alignment horizontal="center" vertical="center" wrapText="1"/>
    </xf>
    <xf numFmtId="0" fontId="88" fillId="2" borderId="313" xfId="2" applyFont="1" applyFill="1" applyBorder="1" applyAlignment="1">
      <alignment horizontal="center" vertical="center" wrapText="1"/>
    </xf>
    <xf numFmtId="0" fontId="299" fillId="23" borderId="53" xfId="1" applyFont="1" applyFill="1" applyBorder="1" applyAlignment="1">
      <alignment horizontal="center" vertical="center"/>
    </xf>
    <xf numFmtId="0" fontId="299" fillId="23" borderId="9" xfId="1" applyFont="1" applyFill="1" applyBorder="1" applyAlignment="1">
      <alignment horizontal="center" vertical="center"/>
    </xf>
    <xf numFmtId="0" fontId="299" fillId="23" borderId="8" xfId="1" applyFont="1" applyFill="1" applyBorder="1" applyAlignment="1">
      <alignment horizontal="center" vertical="center"/>
    </xf>
    <xf numFmtId="0" fontId="304" fillId="4" borderId="0" xfId="1" applyFont="1" applyFill="1" applyBorder="1" applyAlignment="1">
      <alignment horizontal="center" vertical="center" wrapText="1"/>
    </xf>
    <xf numFmtId="0" fontId="304" fillId="4" borderId="5" xfId="1" applyFont="1" applyFill="1" applyBorder="1" applyAlignment="1">
      <alignment horizontal="center" vertical="center" wrapText="1"/>
    </xf>
    <xf numFmtId="0" fontId="174" fillId="4" borderId="0" xfId="8" applyFont="1" applyFill="1" applyAlignment="1">
      <alignment horizontal="left"/>
    </xf>
    <xf numFmtId="0" fontId="174" fillId="7" borderId="0" xfId="8" applyFont="1" applyFill="1" applyAlignment="1">
      <alignment horizontal="left"/>
    </xf>
    <xf numFmtId="0" fontId="232" fillId="78" borderId="144" xfId="2" applyFont="1" applyFill="1" applyBorder="1" applyAlignment="1">
      <alignment horizontal="center" vertical="center"/>
    </xf>
    <xf numFmtId="0" fontId="232" fillId="78" borderId="0" xfId="2" applyFont="1" applyFill="1" applyBorder="1" applyAlignment="1">
      <alignment horizontal="center" vertical="center"/>
    </xf>
    <xf numFmtId="0" fontId="232" fillId="78" borderId="180" xfId="2" applyFont="1" applyFill="1" applyBorder="1" applyAlignment="1">
      <alignment horizontal="center" vertical="center"/>
    </xf>
    <xf numFmtId="0" fontId="17" fillId="4" borderId="144" xfId="2" applyFont="1" applyFill="1" applyBorder="1" applyAlignment="1">
      <alignment horizontal="center" vertical="center" wrapText="1"/>
    </xf>
    <xf numFmtId="0" fontId="17" fillId="4" borderId="0" xfId="2" applyFont="1" applyFill="1" applyBorder="1" applyAlignment="1">
      <alignment horizontal="center" vertical="center" wrapText="1"/>
    </xf>
    <xf numFmtId="0" fontId="17" fillId="4" borderId="180" xfId="2" applyFont="1" applyFill="1" applyBorder="1" applyAlignment="1">
      <alignment horizontal="center" vertical="center" wrapText="1"/>
    </xf>
    <xf numFmtId="0" fontId="45" fillId="4" borderId="33" xfId="1" applyFont="1" applyFill="1" applyBorder="1" applyAlignment="1" applyProtection="1">
      <alignment horizontal="center" vertical="center"/>
      <protection hidden="1"/>
    </xf>
    <xf numFmtId="0" fontId="45" fillId="4" borderId="34" xfId="1" applyFont="1" applyFill="1" applyBorder="1" applyAlignment="1" applyProtection="1">
      <alignment horizontal="center" vertical="center"/>
      <protection hidden="1"/>
    </xf>
    <xf numFmtId="0" fontId="45" fillId="4" borderId="35" xfId="1" applyFont="1" applyFill="1" applyBorder="1" applyAlignment="1" applyProtection="1">
      <alignment horizontal="center" vertical="center"/>
      <protection hidden="1"/>
    </xf>
    <xf numFmtId="0" fontId="86" fillId="4" borderId="151" xfId="2" applyFont="1" applyFill="1" applyBorder="1" applyAlignment="1">
      <alignment horizontal="center" vertical="center" wrapText="1"/>
    </xf>
    <xf numFmtId="0" fontId="86" fillId="4" borderId="3" xfId="2" applyFont="1" applyFill="1" applyBorder="1" applyAlignment="1">
      <alignment horizontal="center" vertical="center" wrapText="1"/>
    </xf>
    <xf numFmtId="0" fontId="86" fillId="4" borderId="183" xfId="2" applyFont="1" applyFill="1" applyBorder="1" applyAlignment="1">
      <alignment horizontal="center" vertical="center" wrapText="1"/>
    </xf>
    <xf numFmtId="0" fontId="86" fillId="4" borderId="144" xfId="2" applyFont="1" applyFill="1" applyBorder="1" applyAlignment="1">
      <alignment horizontal="center" vertical="center" wrapText="1"/>
    </xf>
    <xf numFmtId="0" fontId="86" fillId="4" borderId="180" xfId="2" applyFont="1" applyFill="1" applyBorder="1" applyAlignment="1">
      <alignment horizontal="center" vertical="center" wrapText="1"/>
    </xf>
    <xf numFmtId="0" fontId="86" fillId="4" borderId="309" xfId="2" applyFont="1" applyFill="1" applyBorder="1" applyAlignment="1">
      <alignment horizontal="center" vertical="center" wrapText="1"/>
    </xf>
    <xf numFmtId="0" fontId="86" fillId="4" borderId="316" xfId="2" applyFont="1" applyFill="1" applyBorder="1" applyAlignment="1">
      <alignment horizontal="center" vertical="center" wrapText="1"/>
    </xf>
    <xf numFmtId="0" fontId="86" fillId="4" borderId="313" xfId="2" applyFont="1" applyFill="1" applyBorder="1" applyAlignment="1">
      <alignment horizontal="center" vertical="center" wrapText="1"/>
    </xf>
    <xf numFmtId="0" fontId="52" fillId="37" borderId="151" xfId="0" applyFont="1" applyFill="1" applyBorder="1" applyAlignment="1">
      <alignment horizontal="center" vertical="center" wrapText="1"/>
    </xf>
    <xf numFmtId="0" fontId="52" fillId="37" borderId="3" xfId="0" applyFont="1" applyFill="1" applyBorder="1" applyAlignment="1">
      <alignment horizontal="center" vertical="center" wrapText="1"/>
    </xf>
    <xf numFmtId="0" fontId="52" fillId="37" borderId="183" xfId="0" applyFont="1" applyFill="1" applyBorder="1" applyAlignment="1">
      <alignment horizontal="center" vertical="center" wrapText="1"/>
    </xf>
    <xf numFmtId="0" fontId="52" fillId="37" borderId="144" xfId="0" applyFont="1" applyFill="1" applyBorder="1" applyAlignment="1">
      <alignment horizontal="center" vertical="center" wrapText="1"/>
    </xf>
    <xf numFmtId="0" fontId="52" fillId="37" borderId="180" xfId="0" applyFont="1" applyFill="1" applyBorder="1" applyAlignment="1">
      <alignment horizontal="center" vertical="center" wrapText="1"/>
    </xf>
    <xf numFmtId="0" fontId="52" fillId="37" borderId="309" xfId="0" applyFont="1" applyFill="1" applyBorder="1" applyAlignment="1">
      <alignment horizontal="center" vertical="center" wrapText="1"/>
    </xf>
    <xf numFmtId="0" fontId="52" fillId="37" borderId="316" xfId="0" applyFont="1" applyFill="1" applyBorder="1" applyAlignment="1">
      <alignment horizontal="center" vertical="center" wrapText="1"/>
    </xf>
    <xf numFmtId="0" fontId="52" fillId="37" borderId="313" xfId="0" applyFont="1" applyFill="1" applyBorder="1" applyAlignment="1">
      <alignment horizontal="center" vertical="center" wrapText="1"/>
    </xf>
    <xf numFmtId="0" fontId="12" fillId="4" borderId="151" xfId="2" applyFont="1" applyFill="1" applyBorder="1" applyAlignment="1">
      <alignment horizontal="center" vertical="center" wrapText="1"/>
    </xf>
    <xf numFmtId="0" fontId="12" fillId="4" borderId="3" xfId="2" applyFont="1" applyFill="1" applyBorder="1" applyAlignment="1">
      <alignment horizontal="center" vertical="center" wrapText="1"/>
    </xf>
    <xf numFmtId="0" fontId="12" fillId="4" borderId="183" xfId="2" applyFont="1" applyFill="1" applyBorder="1" applyAlignment="1">
      <alignment horizontal="center" vertical="center" wrapText="1"/>
    </xf>
    <xf numFmtId="0" fontId="12" fillId="4" borderId="144" xfId="2" applyFont="1" applyFill="1" applyBorder="1" applyAlignment="1">
      <alignment horizontal="center" vertical="center" wrapText="1"/>
    </xf>
    <xf numFmtId="0" fontId="12" fillId="4" borderId="180" xfId="2" applyFont="1" applyFill="1" applyBorder="1" applyAlignment="1">
      <alignment horizontal="center" vertical="center" wrapText="1"/>
    </xf>
    <xf numFmtId="0" fontId="334" fillId="4" borderId="0" xfId="10" applyFont="1" applyFill="1" applyAlignment="1" applyProtection="1">
      <alignment horizontal="left" vertical="center"/>
    </xf>
    <xf numFmtId="0" fontId="11" fillId="4" borderId="144" xfId="2" applyFont="1" applyFill="1" applyBorder="1" applyAlignment="1">
      <alignment horizontal="center" vertical="center" wrapText="1"/>
    </xf>
    <xf numFmtId="0" fontId="11" fillId="4" borderId="180" xfId="2" applyFont="1" applyFill="1" applyBorder="1" applyAlignment="1">
      <alignment horizontal="center" vertical="center" wrapText="1"/>
    </xf>
    <xf numFmtId="0" fontId="11" fillId="4" borderId="309" xfId="2" applyFont="1" applyFill="1" applyBorder="1" applyAlignment="1">
      <alignment horizontal="center" vertical="center" wrapText="1"/>
    </xf>
    <xf numFmtId="0" fontId="11" fillId="4" borderId="316" xfId="2" applyFont="1" applyFill="1" applyBorder="1" applyAlignment="1">
      <alignment horizontal="center" vertical="center" wrapText="1"/>
    </xf>
    <xf numFmtId="0" fontId="11" fillId="4" borderId="313" xfId="2" applyFont="1" applyFill="1" applyBorder="1" applyAlignment="1">
      <alignment horizontal="center" vertical="center" wrapText="1"/>
    </xf>
    <xf numFmtId="0" fontId="174" fillId="4" borderId="0" xfId="11" applyFont="1" applyFill="1" applyAlignment="1" applyProtection="1">
      <alignment horizontal="left" vertical="center"/>
    </xf>
    <xf numFmtId="0" fontId="68" fillId="34" borderId="53" xfId="1" applyFont="1" applyFill="1" applyBorder="1" applyAlignment="1" applyProtection="1">
      <alignment horizontal="center" vertical="center"/>
      <protection hidden="1"/>
    </xf>
    <xf numFmtId="0" fontId="68" fillId="34" borderId="9" xfId="1" applyFont="1" applyFill="1" applyBorder="1" applyAlignment="1" applyProtection="1">
      <alignment horizontal="center" vertical="center"/>
      <protection hidden="1"/>
    </xf>
    <xf numFmtId="0" fontId="68" fillId="34" borderId="8" xfId="1" applyFont="1" applyFill="1" applyBorder="1" applyAlignment="1" applyProtection="1">
      <alignment horizontal="center" vertical="center"/>
      <protection hidden="1"/>
    </xf>
    <xf numFmtId="0" fontId="13" fillId="4" borderId="6" xfId="1" applyFont="1" applyFill="1" applyBorder="1" applyAlignment="1" applyProtection="1">
      <alignment horizontal="center" vertical="center"/>
      <protection hidden="1"/>
    </xf>
    <xf numFmtId="0" fontId="13" fillId="4" borderId="0" xfId="1" applyFont="1" applyFill="1" applyBorder="1" applyAlignment="1" applyProtection="1">
      <alignment horizontal="center" vertical="center"/>
      <protection hidden="1"/>
    </xf>
    <xf numFmtId="0" fontId="13" fillId="4" borderId="5" xfId="1" applyFont="1" applyFill="1" applyBorder="1" applyAlignment="1" applyProtection="1">
      <alignment horizontal="center" vertical="center"/>
      <protection hidden="1"/>
    </xf>
    <xf numFmtId="0" fontId="79" fillId="4" borderId="1" xfId="8" applyFont="1" applyFill="1" applyBorder="1" applyAlignment="1" applyProtection="1">
      <alignment horizontal="center" vertical="center"/>
      <protection hidden="1"/>
    </xf>
    <xf numFmtId="0" fontId="79" fillId="4" borderId="149" xfId="8" applyFont="1" applyFill="1" applyBorder="1" applyAlignment="1" applyProtection="1">
      <alignment horizontal="center" vertical="center"/>
      <protection hidden="1"/>
    </xf>
    <xf numFmtId="0" fontId="68" fillId="37" borderId="0" xfId="9" applyFont="1" applyFill="1" applyAlignment="1" applyProtection="1">
      <alignment horizontal="center" vertical="center" wrapText="1"/>
      <protection hidden="1"/>
    </xf>
    <xf numFmtId="0" fontId="17" fillId="0" borderId="0" xfId="1" applyFont="1" applyAlignment="1">
      <alignment horizontal="center" vertical="center" wrapText="1"/>
    </xf>
    <xf numFmtId="0" fontId="51" fillId="0" borderId="0" xfId="1" applyFont="1" applyAlignment="1">
      <alignment horizontal="center" vertical="center"/>
    </xf>
    <xf numFmtId="49" fontId="17" fillId="2" borderId="169" xfId="1" applyNumberFormat="1" applyFont="1" applyFill="1" applyBorder="1" applyAlignment="1">
      <alignment horizontal="center" vertical="center" wrapText="1"/>
    </xf>
    <xf numFmtId="49" fontId="17" fillId="2" borderId="170" xfId="1" applyNumberFormat="1" applyFont="1" applyFill="1" applyBorder="1" applyAlignment="1">
      <alignment horizontal="center" vertical="center" wrapText="1"/>
    </xf>
    <xf numFmtId="49" fontId="17" fillId="20" borderId="174" xfId="1" applyNumberFormat="1" applyFont="1" applyFill="1" applyBorder="1" applyAlignment="1">
      <alignment horizontal="center" vertical="center" wrapText="1"/>
    </xf>
    <xf numFmtId="49" fontId="17" fillId="79" borderId="164" xfId="1" applyNumberFormat="1" applyFont="1" applyFill="1" applyBorder="1" applyAlignment="1">
      <alignment horizontal="center" vertical="center" wrapText="1"/>
    </xf>
    <xf numFmtId="49" fontId="17" fillId="79" borderId="165" xfId="1" applyNumberFormat="1" applyFont="1" applyFill="1" applyBorder="1" applyAlignment="1">
      <alignment horizontal="center" vertical="center" wrapText="1"/>
    </xf>
    <xf numFmtId="0" fontId="9" fillId="37" borderId="0" xfId="1" applyFont="1" applyFill="1" applyBorder="1" applyAlignment="1">
      <alignment horizontal="center" vertical="center" wrapText="1"/>
    </xf>
    <xf numFmtId="0" fontId="135" fillId="37" borderId="0" xfId="1" applyFont="1" applyFill="1" applyAlignment="1">
      <alignment horizontal="center" vertical="center"/>
    </xf>
    <xf numFmtId="0" fontId="4" fillId="22" borderId="0" xfId="1" applyFill="1" applyAlignment="1">
      <alignment horizontal="center"/>
    </xf>
    <xf numFmtId="0" fontId="51" fillId="103" borderId="279" xfId="1" applyFont="1" applyFill="1" applyBorder="1" applyAlignment="1">
      <alignment horizontal="center" vertical="center"/>
    </xf>
    <xf numFmtId="0" fontId="51" fillId="103" borderId="203" xfId="1" applyFont="1" applyFill="1" applyBorder="1" applyAlignment="1">
      <alignment horizontal="center" vertical="center"/>
    </xf>
    <xf numFmtId="0" fontId="13" fillId="0" borderId="213" xfId="1" applyFont="1" applyFill="1" applyBorder="1" applyAlignment="1">
      <alignment horizontal="center" vertical="center" wrapText="1"/>
    </xf>
    <xf numFmtId="0" fontId="13" fillId="0" borderId="4" xfId="1" applyFont="1" applyFill="1" applyBorder="1" applyAlignment="1">
      <alignment horizontal="center" vertical="center" wrapText="1"/>
    </xf>
    <xf numFmtId="0" fontId="13" fillId="0" borderId="281" xfId="1" applyFont="1" applyFill="1" applyBorder="1" applyAlignment="1">
      <alignment horizontal="center" vertical="center" wrapText="1"/>
    </xf>
    <xf numFmtId="0" fontId="296" fillId="42" borderId="0" xfId="1" applyFont="1" applyFill="1" applyBorder="1" applyAlignment="1">
      <alignment horizontal="center" vertical="center" wrapText="1"/>
    </xf>
    <xf numFmtId="0" fontId="296" fillId="42" borderId="181" xfId="1" applyFont="1" applyFill="1" applyBorder="1" applyAlignment="1">
      <alignment horizontal="center" vertical="center" wrapText="1"/>
    </xf>
    <xf numFmtId="0" fontId="296" fillId="42" borderId="180" xfId="1" applyFont="1" applyFill="1" applyBorder="1" applyAlignment="1">
      <alignment horizontal="center" vertical="center" wrapText="1"/>
    </xf>
    <xf numFmtId="0" fontId="296" fillId="30" borderId="0" xfId="1" applyFont="1" applyFill="1" applyBorder="1" applyAlignment="1">
      <alignment horizontal="center" vertical="center" wrapText="1"/>
    </xf>
    <xf numFmtId="0" fontId="296" fillId="30" borderId="181" xfId="1" applyFont="1" applyFill="1" applyBorder="1" applyAlignment="1">
      <alignment horizontal="center" vertical="center" wrapText="1"/>
    </xf>
    <xf numFmtId="0" fontId="296" fillId="30" borderId="180" xfId="1" applyFont="1" applyFill="1" applyBorder="1" applyAlignment="1">
      <alignment horizontal="center" vertical="center" wrapText="1"/>
    </xf>
    <xf numFmtId="0" fontId="211" fillId="51" borderId="0" xfId="1" applyFont="1" applyFill="1" applyBorder="1" applyAlignment="1">
      <alignment horizontal="center" vertical="center" wrapText="1"/>
    </xf>
    <xf numFmtId="0" fontId="211" fillId="51" borderId="181" xfId="1" applyFont="1" applyFill="1" applyBorder="1" applyAlignment="1">
      <alignment horizontal="center" vertical="center" wrapText="1"/>
    </xf>
    <xf numFmtId="0" fontId="211" fillId="51" borderId="180" xfId="1" applyFont="1" applyFill="1" applyBorder="1" applyAlignment="1">
      <alignment horizontal="center" vertical="center" wrapText="1"/>
    </xf>
    <xf numFmtId="0" fontId="211" fillId="78" borderId="0" xfId="1" applyFont="1" applyFill="1" applyBorder="1" applyAlignment="1">
      <alignment horizontal="center" vertical="center" wrapText="1"/>
    </xf>
    <xf numFmtId="0" fontId="211" fillId="78" borderId="181" xfId="1" applyFont="1" applyFill="1" applyBorder="1" applyAlignment="1">
      <alignment horizontal="center" vertical="center" wrapText="1"/>
    </xf>
    <xf numFmtId="0" fontId="211" fillId="78" borderId="180" xfId="1" applyFont="1" applyFill="1" applyBorder="1" applyAlignment="1">
      <alignment horizontal="center" vertical="center" wrapText="1"/>
    </xf>
    <xf numFmtId="0" fontId="296" fillId="83" borderId="0" xfId="1" applyFont="1" applyFill="1" applyBorder="1" applyAlignment="1">
      <alignment horizontal="center" vertical="center" wrapText="1"/>
    </xf>
    <xf numFmtId="0" fontId="296" fillId="83" borderId="181" xfId="1" applyFont="1" applyFill="1" applyBorder="1" applyAlignment="1">
      <alignment horizontal="center" vertical="center" wrapText="1"/>
    </xf>
    <xf numFmtId="0" fontId="296" fillId="83" borderId="180" xfId="1" applyFont="1" applyFill="1" applyBorder="1" applyAlignment="1">
      <alignment horizontal="center" vertical="center" wrapText="1"/>
    </xf>
    <xf numFmtId="0" fontId="211" fillId="82" borderId="0" xfId="1" applyFont="1" applyFill="1" applyBorder="1" applyAlignment="1">
      <alignment horizontal="center" vertical="center" wrapText="1"/>
    </xf>
    <xf numFmtId="0" fontId="211" fillId="82" borderId="181" xfId="1" applyFont="1" applyFill="1" applyBorder="1" applyAlignment="1">
      <alignment horizontal="center" vertical="center" wrapText="1"/>
    </xf>
    <xf numFmtId="0" fontId="211" fillId="82" borderId="180" xfId="1" applyFont="1" applyFill="1" applyBorder="1" applyAlignment="1">
      <alignment horizontal="center" vertical="center" wrapText="1"/>
    </xf>
    <xf numFmtId="0" fontId="288" fillId="53" borderId="3" xfId="20" applyFont="1" applyFill="1" applyBorder="1" applyAlignment="1" applyProtection="1">
      <alignment horizontal="center" vertical="center" wrapText="1"/>
    </xf>
    <xf numFmtId="0" fontId="288" fillId="53" borderId="0" xfId="20" applyFont="1" applyFill="1" applyBorder="1" applyAlignment="1" applyProtection="1">
      <alignment horizontal="center" vertical="center" wrapText="1"/>
    </xf>
    <xf numFmtId="0" fontId="91" fillId="0" borderId="77" xfId="1" applyFont="1" applyBorder="1" applyAlignment="1">
      <alignment horizontal="center" vertical="center"/>
    </xf>
    <xf numFmtId="0" fontId="157" fillId="0" borderId="0" xfId="1" applyFont="1" applyBorder="1" applyAlignment="1">
      <alignment horizontal="center" vertical="center"/>
    </xf>
    <xf numFmtId="0" fontId="157" fillId="0" borderId="0" xfId="1" applyFont="1" applyFill="1" applyBorder="1" applyAlignment="1">
      <alignment horizontal="center" vertical="center"/>
    </xf>
    <xf numFmtId="0" fontId="186" fillId="66" borderId="102" xfId="1" applyFont="1" applyFill="1" applyBorder="1" applyAlignment="1">
      <alignment horizontal="center" vertical="center"/>
    </xf>
    <xf numFmtId="0" fontId="164" fillId="62" borderId="129" xfId="4" applyFont="1" applyFill="1" applyBorder="1" applyAlignment="1">
      <alignment horizontal="center" vertical="center" wrapText="1"/>
    </xf>
    <xf numFmtId="0" fontId="201" fillId="56" borderId="94" xfId="4" applyNumberFormat="1" applyFont="1" applyFill="1" applyBorder="1" applyAlignment="1">
      <alignment horizontal="center" vertical="center"/>
    </xf>
    <xf numFmtId="0" fontId="200" fillId="56" borderId="85" xfId="1" applyFont="1" applyFill="1" applyBorder="1" applyAlignment="1">
      <alignment horizontal="center" vertical="center"/>
    </xf>
    <xf numFmtId="176" fontId="51" fillId="0" borderId="116" xfId="4" applyNumberFormat="1" applyFont="1" applyFill="1" applyBorder="1" applyAlignment="1">
      <alignment horizontal="center" vertical="center"/>
    </xf>
    <xf numFmtId="0" fontId="207" fillId="0" borderId="122" xfId="1" applyFont="1" applyBorder="1" applyAlignment="1">
      <alignment horizontal="center" vertical="center" wrapText="1"/>
    </xf>
    <xf numFmtId="176" fontId="13" fillId="0" borderId="105" xfId="4" applyNumberFormat="1" applyFont="1" applyFill="1" applyBorder="1" applyAlignment="1">
      <alignment horizontal="left" vertical="center"/>
    </xf>
    <xf numFmtId="0" fontId="157" fillId="0" borderId="103" xfId="1" applyNumberFormat="1" applyFont="1" applyFill="1" applyBorder="1" applyAlignment="1">
      <alignment horizontal="center" vertical="center" wrapText="1"/>
    </xf>
    <xf numFmtId="191" fontId="99" fillId="0" borderId="119" xfId="1" applyNumberFormat="1" applyFont="1" applyFill="1" applyBorder="1" applyAlignment="1">
      <alignment horizontal="center" vertical="center" wrapText="1"/>
    </xf>
    <xf numFmtId="0" fontId="157" fillId="0" borderId="85" xfId="4" applyNumberFormat="1" applyFont="1" applyFill="1" applyBorder="1" applyAlignment="1">
      <alignment horizontal="center" vertical="center" wrapText="1"/>
    </xf>
    <xf numFmtId="0" fontId="157" fillId="0" borderId="82" xfId="4" applyNumberFormat="1" applyFont="1" applyFill="1" applyBorder="1" applyAlignment="1">
      <alignment horizontal="center" vertical="center" wrapText="1"/>
    </xf>
    <xf numFmtId="0" fontId="13" fillId="0" borderId="85" xfId="4" applyFont="1" applyFill="1" applyBorder="1" applyAlignment="1">
      <alignment horizontal="center" vertical="center"/>
    </xf>
    <xf numFmtId="0" fontId="207" fillId="0" borderId="0" xfId="1" applyFont="1" applyBorder="1" applyAlignment="1">
      <alignment horizontal="center" vertical="center" wrapText="1"/>
    </xf>
    <xf numFmtId="0" fontId="183" fillId="0" borderId="0" xfId="1" applyFont="1" applyBorder="1" applyAlignment="1">
      <alignment horizontal="center" vertical="center" wrapText="1"/>
    </xf>
    <xf numFmtId="0" fontId="44" fillId="0" borderId="116" xfId="1" applyFont="1" applyBorder="1" applyAlignment="1">
      <alignment horizontal="center" vertical="center"/>
    </xf>
    <xf numFmtId="0" fontId="46" fillId="0" borderId="0" xfId="4" applyFont="1" applyFill="1" applyBorder="1" applyAlignment="1">
      <alignment horizontal="center" vertical="center"/>
    </xf>
    <xf numFmtId="0" fontId="47" fillId="0" borderId="85" xfId="4" applyFont="1" applyFill="1" applyBorder="1" applyAlignment="1">
      <alignment horizontal="center" vertical="center"/>
    </xf>
    <xf numFmtId="0" fontId="196" fillId="0" borderId="93" xfId="1" applyFont="1" applyBorder="1" applyAlignment="1">
      <alignment horizontal="center" vertical="center"/>
    </xf>
    <xf numFmtId="0" fontId="51" fillId="0" borderId="0" xfId="1" applyFont="1" applyBorder="1" applyAlignment="1">
      <alignment horizontal="center" vertical="center"/>
    </xf>
    <xf numFmtId="0" fontId="194" fillId="0" borderId="0" xfId="1" applyFont="1" applyBorder="1" applyAlignment="1">
      <alignment horizontal="center" vertical="center"/>
    </xf>
    <xf numFmtId="0" fontId="69" fillId="57" borderId="68" xfId="1" applyFont="1" applyFill="1" applyBorder="1" applyAlignment="1">
      <alignment horizontal="center" vertical="center" wrapText="1"/>
    </xf>
    <xf numFmtId="0" fontId="69" fillId="57" borderId="69" xfId="1" applyFont="1" applyFill="1" applyBorder="1" applyAlignment="1">
      <alignment horizontal="center" vertical="center" wrapText="1"/>
    </xf>
    <xf numFmtId="2" fontId="43" fillId="58" borderId="70" xfId="1" applyNumberFormat="1" applyFont="1" applyFill="1" applyBorder="1" applyAlignment="1" applyProtection="1">
      <alignment horizontal="center" vertical="center"/>
      <protection locked="0"/>
    </xf>
    <xf numFmtId="2" fontId="43" fillId="58" borderId="71" xfId="1" applyNumberFormat="1" applyFont="1" applyFill="1" applyBorder="1" applyAlignment="1" applyProtection="1">
      <alignment horizontal="center" vertical="center"/>
      <protection locked="0"/>
    </xf>
    <xf numFmtId="0" fontId="51" fillId="0" borderId="72" xfId="1" applyFont="1" applyFill="1" applyBorder="1" applyAlignment="1">
      <alignment horizontal="center" vertical="center" wrapText="1"/>
    </xf>
    <xf numFmtId="0" fontId="51" fillId="0" borderId="76" xfId="1" applyFont="1" applyFill="1" applyBorder="1" applyAlignment="1">
      <alignment horizontal="center" vertical="center" wrapText="1"/>
    </xf>
    <xf numFmtId="0" fontId="184" fillId="59" borderId="74" xfId="4" applyNumberFormat="1" applyFont="1" applyFill="1" applyBorder="1" applyAlignment="1">
      <alignment horizontal="center" vertical="center" wrapText="1"/>
    </xf>
    <xf numFmtId="0" fontId="185" fillId="57" borderId="0" xfId="5" applyNumberFormat="1" applyFont="1" applyFill="1" applyBorder="1" applyAlignment="1" applyProtection="1">
      <alignment horizontal="left" vertical="center" wrapText="1"/>
    </xf>
    <xf numFmtId="2" fontId="5" fillId="60" borderId="69" xfId="1" applyNumberFormat="1" applyFont="1" applyFill="1" applyBorder="1" applyAlignment="1" applyProtection="1">
      <alignment horizontal="center" vertical="center" wrapText="1"/>
      <protection locked="0"/>
    </xf>
    <xf numFmtId="2" fontId="5" fillId="60" borderId="73" xfId="1" applyNumberFormat="1" applyFont="1" applyFill="1" applyBorder="1" applyAlignment="1" applyProtection="1">
      <alignment horizontal="center" vertical="center" wrapText="1"/>
      <protection locked="0"/>
    </xf>
    <xf numFmtId="0" fontId="188" fillId="0" borderId="69" xfId="4" applyNumberFormat="1" applyFont="1" applyFill="1" applyBorder="1" applyAlignment="1">
      <alignment horizontal="center" vertical="center" wrapText="1"/>
    </xf>
    <xf numFmtId="0" fontId="189" fillId="57" borderId="70" xfId="4" applyNumberFormat="1" applyFont="1" applyFill="1" applyBorder="1" applyAlignment="1">
      <alignment horizontal="center" vertical="center"/>
    </xf>
    <xf numFmtId="0" fontId="29" fillId="0" borderId="79" xfId="4" applyNumberFormat="1" applyFont="1" applyFill="1" applyBorder="1" applyAlignment="1">
      <alignment horizontal="center" vertical="center" wrapText="1"/>
    </xf>
    <xf numFmtId="0" fontId="190" fillId="0" borderId="76" xfId="4" applyNumberFormat="1" applyFont="1" applyFill="1" applyBorder="1" applyAlignment="1">
      <alignment horizontal="right" vertical="center" wrapText="1"/>
    </xf>
    <xf numFmtId="0" fontId="135" fillId="0" borderId="80" xfId="1" applyFont="1" applyBorder="1" applyAlignment="1">
      <alignment horizontal="center" vertical="center" wrapText="1"/>
    </xf>
    <xf numFmtId="0" fontId="68" fillId="0" borderId="77" xfId="1" applyFont="1" applyBorder="1" applyAlignment="1">
      <alignment horizontal="left" vertical="center" wrapText="1"/>
    </xf>
    <xf numFmtId="186" fontId="44" fillId="0" borderId="83" xfId="1" applyNumberFormat="1" applyFont="1" applyBorder="1" applyAlignment="1">
      <alignment horizontal="center" vertical="center" wrapText="1"/>
    </xf>
    <xf numFmtId="0" fontId="192" fillId="0" borderId="75" xfId="4" applyFont="1" applyFill="1" applyBorder="1" applyAlignment="1">
      <alignment horizontal="center" vertical="center" wrapText="1"/>
    </xf>
    <xf numFmtId="0" fontId="193" fillId="62" borderId="82" xfId="4" applyFont="1" applyFill="1" applyBorder="1" applyAlignment="1">
      <alignment horizontal="center" vertical="center" wrapText="1"/>
    </xf>
    <xf numFmtId="0" fontId="251" fillId="22" borderId="0" xfId="10" applyFont="1" applyFill="1" applyAlignment="1" applyProtection="1">
      <alignment horizontal="center" vertical="center"/>
    </xf>
    <xf numFmtId="2" fontId="74" fillId="98" borderId="251" xfId="2" applyNumberFormat="1" applyFont="1" applyFill="1" applyBorder="1" applyAlignment="1">
      <alignment horizontal="center" vertical="center" wrapText="1"/>
    </xf>
    <xf numFmtId="2" fontId="74" fillId="98" borderId="252" xfId="2" applyNumberFormat="1" applyFont="1" applyFill="1" applyBorder="1" applyAlignment="1">
      <alignment horizontal="center" vertical="center" wrapText="1"/>
    </xf>
    <xf numFmtId="2" fontId="74" fillId="98" borderId="253" xfId="2" applyNumberFormat="1" applyFont="1" applyFill="1" applyBorder="1" applyAlignment="1">
      <alignment horizontal="center" vertical="center" wrapText="1"/>
    </xf>
    <xf numFmtId="2" fontId="436" fillId="4" borderId="252" xfId="2" applyNumberFormat="1" applyFont="1" applyFill="1" applyBorder="1" applyAlignment="1">
      <alignment horizontal="center" vertical="center"/>
    </xf>
    <xf numFmtId="0" fontId="70" fillId="77" borderId="0" xfId="0" applyFont="1" applyFill="1" applyAlignment="1">
      <alignment horizontal="center"/>
    </xf>
    <xf numFmtId="0" fontId="40" fillId="8" borderId="53" xfId="0" applyFont="1" applyFill="1" applyBorder="1" applyAlignment="1">
      <alignment horizontal="center"/>
    </xf>
    <xf numFmtId="0" fontId="40" fillId="8" borderId="9" xfId="0" applyFont="1" applyFill="1" applyBorder="1" applyAlignment="1">
      <alignment horizontal="center"/>
    </xf>
    <xf numFmtId="0" fontId="93" fillId="0" borderId="286" xfId="0" applyFont="1" applyBorder="1" applyAlignment="1">
      <alignment horizontal="right" vertical="center" wrapText="1"/>
    </xf>
    <xf numFmtId="0" fontId="93" fillId="0" borderId="287" xfId="0" applyFont="1" applyBorder="1" applyAlignment="1">
      <alignment horizontal="right" vertical="center" wrapText="1"/>
    </xf>
    <xf numFmtId="164" fontId="56" fillId="13" borderId="286" xfId="3" applyNumberFormat="1" applyFont="1" applyFill="1" applyBorder="1" applyAlignment="1">
      <alignment horizontal="center" vertical="center"/>
    </xf>
    <xf numFmtId="164" fontId="56" fillId="13" borderId="287" xfId="3" applyNumberFormat="1" applyFont="1" applyFill="1" applyBorder="1" applyAlignment="1">
      <alignment horizontal="center" vertical="center"/>
    </xf>
    <xf numFmtId="2" fontId="306" fillId="7" borderId="252" xfId="2" applyNumberFormat="1" applyFont="1" applyFill="1" applyBorder="1" applyAlignment="1">
      <alignment horizontal="center" vertical="center"/>
    </xf>
    <xf numFmtId="2" fontId="306" fillId="7" borderId="253" xfId="2" applyNumberFormat="1" applyFont="1" applyFill="1" applyBorder="1" applyAlignment="1">
      <alignment horizontal="center" vertical="center"/>
    </xf>
    <xf numFmtId="0" fontId="93" fillId="0" borderId="288" xfId="0" applyFont="1" applyBorder="1" applyAlignment="1">
      <alignment horizontal="right" vertical="center" wrapText="1"/>
    </xf>
    <xf numFmtId="0" fontId="93" fillId="0" borderId="289" xfId="0" applyFont="1" applyBorder="1" applyAlignment="1">
      <alignment horizontal="right" vertical="center" wrapText="1"/>
    </xf>
    <xf numFmtId="166" fontId="56" fillId="13" borderId="288" xfId="3" applyNumberFormat="1" applyFont="1" applyFill="1" applyBorder="1" applyAlignment="1">
      <alignment horizontal="center" vertical="center"/>
    </xf>
    <xf numFmtId="166" fontId="56" fillId="13" borderId="289" xfId="3" applyNumberFormat="1" applyFont="1" applyFill="1" applyBorder="1" applyAlignment="1">
      <alignment horizontal="center" vertical="center"/>
    </xf>
    <xf numFmtId="0" fontId="93" fillId="8" borderId="40" xfId="0" applyFont="1" applyFill="1" applyBorder="1" applyAlignment="1">
      <alignment horizontal="center" vertical="center" wrapText="1"/>
    </xf>
    <xf numFmtId="0" fontId="93" fillId="8" borderId="41" xfId="0" applyFont="1" applyFill="1" applyBorder="1" applyAlignment="1">
      <alignment horizontal="center" vertical="center" wrapText="1"/>
    </xf>
    <xf numFmtId="0" fontId="93" fillId="8" borderId="42" xfId="0" applyFont="1" applyFill="1" applyBorder="1" applyAlignment="1">
      <alignment horizontal="center" vertical="center" wrapText="1"/>
    </xf>
    <xf numFmtId="0" fontId="93" fillId="8" borderId="6" xfId="0" applyFont="1" applyFill="1" applyBorder="1" applyAlignment="1">
      <alignment horizontal="center" vertical="center" wrapText="1"/>
    </xf>
    <xf numFmtId="0" fontId="93" fillId="8" borderId="0" xfId="0" applyFont="1" applyFill="1" applyBorder="1" applyAlignment="1">
      <alignment horizontal="center" vertical="center" wrapText="1"/>
    </xf>
    <xf numFmtId="0" fontId="93" fillId="8" borderId="5" xfId="0" applyFont="1" applyFill="1" applyBorder="1" applyAlignment="1">
      <alignment horizontal="center" vertical="center" wrapText="1"/>
    </xf>
    <xf numFmtId="0" fontId="93" fillId="8" borderId="150" xfId="0" applyFont="1" applyFill="1" applyBorder="1" applyAlignment="1">
      <alignment horizontal="center" vertical="center" wrapText="1"/>
    </xf>
    <xf numFmtId="0" fontId="93" fillId="8" borderId="1" xfId="0" applyFont="1" applyFill="1" applyBorder="1" applyAlignment="1">
      <alignment horizontal="center" vertical="center" wrapText="1"/>
    </xf>
    <xf numFmtId="0" fontId="93" fillId="8" borderId="149" xfId="0" applyFont="1" applyFill="1" applyBorder="1" applyAlignment="1">
      <alignment horizontal="center" vertical="center" wrapText="1"/>
    </xf>
    <xf numFmtId="0" fontId="232" fillId="77" borderId="6" xfId="0" applyFont="1" applyFill="1" applyBorder="1" applyAlignment="1">
      <alignment horizontal="right" vertical="center"/>
    </xf>
    <xf numFmtId="0" fontId="232" fillId="77" borderId="0" xfId="0" applyFont="1" applyFill="1" applyBorder="1" applyAlignment="1">
      <alignment horizontal="right" vertical="center"/>
    </xf>
    <xf numFmtId="0" fontId="93" fillId="4" borderId="40" xfId="0" applyFont="1" applyFill="1" applyBorder="1" applyAlignment="1">
      <alignment horizontal="center" vertical="center" wrapText="1"/>
    </xf>
    <xf numFmtId="0" fontId="93" fillId="4" borderId="41" xfId="0" applyFont="1" applyFill="1" applyBorder="1" applyAlignment="1">
      <alignment horizontal="center" vertical="center" wrapText="1"/>
    </xf>
    <xf numFmtId="0" fontId="93" fillId="4" borderId="42" xfId="0" applyFont="1" applyFill="1" applyBorder="1" applyAlignment="1">
      <alignment horizontal="center" vertical="center" wrapText="1"/>
    </xf>
    <xf numFmtId="2" fontId="28" fillId="4" borderId="0" xfId="2" applyNumberFormat="1" applyFont="1" applyFill="1" applyAlignment="1">
      <alignment horizontal="center" vertical="center" wrapText="1"/>
    </xf>
    <xf numFmtId="0" fontId="243" fillId="77" borderId="277" xfId="0" applyFont="1" applyFill="1" applyBorder="1" applyAlignment="1">
      <alignment horizontal="right"/>
    </xf>
    <xf numFmtId="0" fontId="233" fillId="4" borderId="27" xfId="0" applyFont="1" applyFill="1" applyBorder="1" applyAlignment="1">
      <alignment horizontal="right" vertical="center"/>
    </xf>
    <xf numFmtId="0" fontId="233" fillId="4" borderId="26" xfId="0" applyFont="1" applyFill="1" applyBorder="1" applyAlignment="1">
      <alignment horizontal="right" vertical="center"/>
    </xf>
    <xf numFmtId="0" fontId="0" fillId="4" borderId="277" xfId="0" applyFill="1" applyBorder="1" applyAlignment="1">
      <alignment horizontal="center" vertical="center"/>
    </xf>
    <xf numFmtId="0" fontId="26" fillId="4" borderId="277" xfId="0" applyFont="1" applyFill="1" applyBorder="1" applyAlignment="1">
      <alignment horizontal="right" vertical="center"/>
    </xf>
    <xf numFmtId="2" fontId="245" fillId="7" borderId="0" xfId="2" applyNumberFormat="1" applyFont="1" applyFill="1" applyAlignment="1">
      <alignment horizontal="center" vertical="center" wrapText="1"/>
    </xf>
    <xf numFmtId="0" fontId="71" fillId="13" borderId="14" xfId="0" applyFont="1" applyFill="1" applyBorder="1" applyAlignment="1">
      <alignment horizontal="center" vertical="center"/>
    </xf>
    <xf numFmtId="0" fontId="71" fillId="13" borderId="276" xfId="0" applyFont="1" applyFill="1" applyBorder="1" applyAlignment="1">
      <alignment horizontal="center" vertical="center"/>
    </xf>
    <xf numFmtId="0" fontId="71" fillId="13" borderId="183" xfId="0" applyFont="1" applyFill="1" applyBorder="1" applyAlignment="1">
      <alignment horizontal="center" vertical="center"/>
    </xf>
    <xf numFmtId="0" fontId="76" fillId="26" borderId="151" xfId="1" applyFont="1" applyFill="1" applyBorder="1" applyAlignment="1" applyProtection="1">
      <alignment horizontal="center" vertical="center" wrapText="1"/>
      <protection hidden="1"/>
    </xf>
    <xf numFmtId="0" fontId="76" fillId="26" borderId="3" xfId="1" applyFont="1" applyFill="1" applyBorder="1" applyAlignment="1" applyProtection="1">
      <alignment horizontal="center" vertical="center" wrapText="1"/>
      <protection hidden="1"/>
    </xf>
    <xf numFmtId="0" fontId="244" fillId="26" borderId="151" xfId="1" applyFont="1" applyFill="1" applyBorder="1" applyAlignment="1" applyProtection="1">
      <alignment horizontal="center" vertical="center" wrapText="1"/>
      <protection hidden="1"/>
    </xf>
    <xf numFmtId="0" fontId="244" fillId="26" borderId="3" xfId="1" applyFont="1" applyFill="1" applyBorder="1" applyAlignment="1" applyProtection="1">
      <alignment horizontal="center" vertical="center" wrapText="1"/>
      <protection hidden="1"/>
    </xf>
    <xf numFmtId="0" fontId="233" fillId="4" borderId="6" xfId="0" applyFont="1" applyFill="1" applyBorder="1" applyAlignment="1">
      <alignment horizontal="right" vertical="center"/>
    </xf>
    <xf numFmtId="0" fontId="72" fillId="13" borderId="144" xfId="0" applyFont="1" applyFill="1" applyBorder="1" applyAlignment="1">
      <alignment horizontal="center" vertical="center" wrapText="1"/>
    </xf>
    <xf numFmtId="0" fontId="72" fillId="13" borderId="0" xfId="0" applyFont="1" applyFill="1" applyBorder="1" applyAlignment="1">
      <alignment horizontal="center" vertical="center" wrapText="1"/>
    </xf>
    <xf numFmtId="0" fontId="20" fillId="9" borderId="190" xfId="4" applyFont="1" applyFill="1" applyBorder="1" applyAlignment="1">
      <alignment horizontal="center" vertical="center"/>
    </xf>
    <xf numFmtId="0" fontId="64" fillId="2" borderId="10" xfId="0" applyFont="1" applyFill="1" applyBorder="1" applyAlignment="1">
      <alignment horizontal="left" vertical="center"/>
    </xf>
    <xf numFmtId="0" fontId="226" fillId="4" borderId="0" xfId="0" applyFont="1" applyFill="1" applyAlignment="1">
      <alignment horizontal="left" vertical="center"/>
    </xf>
    <xf numFmtId="0" fontId="226" fillId="4" borderId="0" xfId="0" applyFont="1" applyFill="1" applyBorder="1" applyAlignment="1">
      <alignment horizontal="left" vertical="center"/>
    </xf>
    <xf numFmtId="0" fontId="10" fillId="2" borderId="10" xfId="0" applyFont="1" applyFill="1" applyBorder="1" applyAlignment="1">
      <alignment horizontal="left" vertical="center"/>
    </xf>
    <xf numFmtId="0" fontId="62" fillId="4" borderId="144" xfId="1" applyFont="1" applyFill="1" applyBorder="1" applyAlignment="1">
      <alignment horizontal="right" vertical="center"/>
    </xf>
    <xf numFmtId="0" fontId="62" fillId="4" borderId="0" xfId="1" applyFont="1" applyFill="1" applyBorder="1" applyAlignment="1">
      <alignment horizontal="right" vertical="center"/>
    </xf>
    <xf numFmtId="2" fontId="12" fillId="16" borderId="0" xfId="1" applyNumberFormat="1" applyFont="1" applyFill="1" applyBorder="1" applyAlignment="1">
      <alignment horizontal="center" vertical="center" wrapText="1"/>
    </xf>
    <xf numFmtId="2" fontId="12" fillId="16" borderId="5" xfId="1" applyNumberFormat="1" applyFont="1" applyFill="1" applyBorder="1" applyAlignment="1">
      <alignment horizontal="center" vertical="center" wrapText="1"/>
    </xf>
    <xf numFmtId="164" fontId="171" fillId="70" borderId="0" xfId="3" applyNumberFormat="1" applyFont="1" applyFill="1" applyBorder="1" applyAlignment="1">
      <alignment horizontal="center" vertical="center"/>
    </xf>
    <xf numFmtId="166" fontId="224" fillId="70" borderId="20" xfId="3" applyNumberFormat="1" applyFont="1" applyFill="1" applyBorder="1" applyAlignment="1">
      <alignment horizontal="center" vertical="center"/>
    </xf>
    <xf numFmtId="164" fontId="57" fillId="79" borderId="291" xfId="3" applyNumberFormat="1" applyFont="1" applyFill="1" applyBorder="1" applyAlignment="1">
      <alignment horizontal="center" vertical="center"/>
    </xf>
    <xf numFmtId="0" fontId="220" fillId="4" borderId="0" xfId="1" applyFont="1" applyFill="1" applyBorder="1" applyAlignment="1" applyProtection="1">
      <alignment horizontal="center" vertical="center" wrapText="1"/>
      <protection hidden="1"/>
    </xf>
    <xf numFmtId="0" fontId="220" fillId="4" borderId="145" xfId="1" applyFont="1" applyFill="1" applyBorder="1" applyAlignment="1" applyProtection="1">
      <alignment horizontal="center" vertical="center" wrapText="1"/>
      <protection hidden="1"/>
    </xf>
    <xf numFmtId="0" fontId="15" fillId="6" borderId="3" xfId="1" applyFont="1" applyFill="1" applyBorder="1" applyAlignment="1">
      <alignment horizontal="center" vertical="center"/>
    </xf>
    <xf numFmtId="0" fontId="15" fillId="6" borderId="0" xfId="1" applyFont="1" applyFill="1" applyBorder="1" applyAlignment="1">
      <alignment horizontal="center" vertical="center"/>
    </xf>
    <xf numFmtId="0" fontId="332" fillId="4" borderId="0" xfId="1" applyNumberFormat="1" applyFont="1" applyFill="1" applyBorder="1" applyAlignment="1">
      <alignment horizontal="center" vertical="center"/>
    </xf>
    <xf numFmtId="2" fontId="42" fillId="33" borderId="0" xfId="1" applyNumberFormat="1" applyFont="1" applyFill="1" applyBorder="1" applyAlignment="1">
      <alignment horizontal="left" vertical="center" wrapText="1"/>
    </xf>
    <xf numFmtId="2" fontId="42" fillId="33" borderId="5" xfId="1" applyNumberFormat="1" applyFont="1" applyFill="1" applyBorder="1" applyAlignment="1">
      <alignment horizontal="left" vertical="center" wrapText="1"/>
    </xf>
    <xf numFmtId="0" fontId="3" fillId="2" borderId="6" xfId="0" applyFont="1" applyFill="1" applyBorder="1" applyAlignment="1">
      <alignment horizontal="left" wrapText="1"/>
    </xf>
    <xf numFmtId="0" fontId="3" fillId="2" borderId="0" xfId="0" applyFont="1" applyFill="1" applyBorder="1" applyAlignment="1">
      <alignment horizontal="left" wrapText="1"/>
    </xf>
    <xf numFmtId="0" fontId="52" fillId="4" borderId="6" xfId="0" applyFont="1" applyFill="1" applyBorder="1" applyAlignment="1">
      <alignment horizontal="left" vertical="center" wrapText="1"/>
    </xf>
    <xf numFmtId="0" fontId="52" fillId="4" borderId="0" xfId="0" applyFont="1" applyFill="1" applyBorder="1" applyAlignment="1">
      <alignment horizontal="left" vertical="center" wrapText="1"/>
    </xf>
    <xf numFmtId="0" fontId="52" fillId="4" borderId="5" xfId="0" applyFont="1" applyFill="1" applyBorder="1" applyAlignment="1">
      <alignment horizontal="left" vertical="center" wrapText="1"/>
    </xf>
    <xf numFmtId="0" fontId="0" fillId="4" borderId="6" xfId="0" applyFont="1" applyFill="1" applyBorder="1" applyAlignment="1">
      <alignment horizontal="left" vertical="center" wrapText="1"/>
    </xf>
    <xf numFmtId="0" fontId="0" fillId="4" borderId="0" xfId="0" applyFont="1" applyFill="1" applyBorder="1" applyAlignment="1">
      <alignment horizontal="left" vertical="center" wrapText="1"/>
    </xf>
    <xf numFmtId="0" fontId="0" fillId="4" borderId="5" xfId="0" applyFont="1" applyFill="1" applyBorder="1" applyAlignment="1">
      <alignment horizontal="left" vertical="center" wrapText="1"/>
    </xf>
    <xf numFmtId="0" fontId="70" fillId="77" borderId="0" xfId="0" applyFont="1" applyFill="1" applyBorder="1" applyAlignment="1">
      <alignment horizontal="center"/>
    </xf>
    <xf numFmtId="0" fontId="70" fillId="77" borderId="5" xfId="0" applyFont="1" applyFill="1" applyBorder="1" applyAlignment="1">
      <alignment horizontal="center"/>
    </xf>
    <xf numFmtId="0" fontId="3" fillId="4" borderId="0"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87" fillId="4" borderId="0" xfId="8" applyFont="1" applyFill="1" applyBorder="1" applyAlignment="1">
      <alignment horizontal="center" vertical="center"/>
    </xf>
    <xf numFmtId="0" fontId="87" fillId="4" borderId="5" xfId="8" applyFont="1" applyFill="1" applyBorder="1" applyAlignment="1">
      <alignment horizontal="center" vertical="center"/>
    </xf>
    <xf numFmtId="0" fontId="70" fillId="77" borderId="53" xfId="0" applyFont="1" applyFill="1" applyBorder="1" applyAlignment="1">
      <alignment horizontal="center"/>
    </xf>
    <xf numFmtId="0" fontId="70" fillId="77" borderId="9" xfId="0" applyFont="1" applyFill="1" applyBorder="1" applyAlignment="1">
      <alignment horizontal="center"/>
    </xf>
    <xf numFmtId="0" fontId="70" fillId="77" borderId="8" xfId="0" applyFont="1" applyFill="1" applyBorder="1" applyAlignment="1">
      <alignment horizontal="center"/>
    </xf>
    <xf numFmtId="0" fontId="239" fillId="77" borderId="53" xfId="1" applyFont="1" applyFill="1" applyBorder="1" applyAlignment="1" applyProtection="1">
      <alignment horizontal="center" vertical="center"/>
      <protection hidden="1"/>
    </xf>
    <xf numFmtId="0" fontId="239" fillId="77" borderId="9" xfId="1" applyFont="1" applyFill="1" applyBorder="1" applyAlignment="1" applyProtection="1">
      <alignment horizontal="center" vertical="center"/>
      <protection hidden="1"/>
    </xf>
    <xf numFmtId="0" fontId="70" fillId="77" borderId="9" xfId="0" applyFont="1" applyFill="1" applyBorder="1" applyAlignment="1">
      <alignment horizontal="center" vertical="center"/>
    </xf>
    <xf numFmtId="0" fontId="70" fillId="77" borderId="8" xfId="0" applyFont="1" applyFill="1" applyBorder="1" applyAlignment="1">
      <alignment horizontal="center" vertical="center"/>
    </xf>
    <xf numFmtId="0" fontId="239" fillId="77" borderId="8" xfId="1" applyFont="1" applyFill="1" applyBorder="1" applyAlignment="1" applyProtection="1">
      <alignment horizontal="center" vertical="center"/>
      <protection hidden="1"/>
    </xf>
    <xf numFmtId="0" fontId="160" fillId="0" borderId="6" xfId="0" applyFont="1" applyBorder="1" applyAlignment="1">
      <alignment horizontal="center" vertical="center"/>
    </xf>
    <xf numFmtId="0" fontId="160" fillId="0" borderId="0" xfId="0" applyFont="1" applyBorder="1" applyAlignment="1">
      <alignment horizontal="center" vertical="center"/>
    </xf>
    <xf numFmtId="0" fontId="160" fillId="0" borderId="5" xfId="0" applyFont="1" applyBorder="1" applyAlignment="1">
      <alignment horizontal="center" vertical="center"/>
    </xf>
    <xf numFmtId="0" fontId="0" fillId="4" borderId="0" xfId="0" applyFill="1" applyBorder="1" applyAlignment="1">
      <alignment horizontal="left" wrapText="1"/>
    </xf>
    <xf numFmtId="0" fontId="52" fillId="4" borderId="6" xfId="0" applyFont="1" applyFill="1" applyBorder="1" applyAlignment="1">
      <alignment horizontal="center" vertical="center" wrapText="1"/>
    </xf>
    <xf numFmtId="0" fontId="52" fillId="4" borderId="0" xfId="0" applyFont="1" applyFill="1" applyBorder="1" applyAlignment="1">
      <alignment horizontal="center" vertical="center" wrapText="1"/>
    </xf>
    <xf numFmtId="0" fontId="52" fillId="4" borderId="5"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42" fillId="4" borderId="6" xfId="0" applyFont="1" applyFill="1" applyBorder="1" applyAlignment="1">
      <alignment horizontal="center" vertical="center"/>
    </xf>
    <xf numFmtId="0" fontId="42" fillId="4" borderId="0" xfId="0" applyFont="1" applyFill="1" applyBorder="1" applyAlignment="1">
      <alignment horizontal="center" vertical="center"/>
    </xf>
    <xf numFmtId="0" fontId="42" fillId="4" borderId="5" xfId="0" applyFont="1" applyFill="1" applyBorder="1" applyAlignment="1">
      <alignment horizontal="center" vertical="center"/>
    </xf>
    <xf numFmtId="0" fontId="224" fillId="4" borderId="6" xfId="0" applyFont="1" applyFill="1" applyBorder="1" applyAlignment="1">
      <alignment horizontal="center" wrapText="1"/>
    </xf>
    <xf numFmtId="0" fontId="224" fillId="4" borderId="0" xfId="0" applyFont="1" applyFill="1" applyBorder="1" applyAlignment="1">
      <alignment horizontal="center" wrapText="1"/>
    </xf>
    <xf numFmtId="0" fontId="224" fillId="4" borderId="5" xfId="0" applyFont="1" applyFill="1" applyBorder="1" applyAlignment="1">
      <alignment horizontal="center" wrapText="1"/>
    </xf>
    <xf numFmtId="0" fontId="241" fillId="4" borderId="0" xfId="8" applyFont="1" applyFill="1" applyBorder="1" applyAlignment="1">
      <alignment horizontal="left" vertical="center"/>
    </xf>
    <xf numFmtId="0" fontId="241" fillId="4" borderId="5" xfId="8" applyFont="1" applyFill="1" applyBorder="1" applyAlignment="1">
      <alignment horizontal="left" vertical="center"/>
    </xf>
    <xf numFmtId="0" fontId="3" fillId="2" borderId="0" xfId="0" applyFont="1" applyFill="1" applyBorder="1" applyAlignment="1">
      <alignment horizontal="center" wrapText="1"/>
    </xf>
    <xf numFmtId="0" fontId="3" fillId="2" borderId="5" xfId="0" applyFont="1" applyFill="1" applyBorder="1" applyAlignment="1">
      <alignment horizontal="center" wrapText="1"/>
    </xf>
    <xf numFmtId="0" fontId="3" fillId="2" borderId="6" xfId="0" applyFont="1" applyFill="1" applyBorder="1" applyAlignment="1">
      <alignment horizontal="left" vertical="center" wrapText="1"/>
    </xf>
    <xf numFmtId="0" fontId="87" fillId="4" borderId="0" xfId="8" applyFont="1" applyFill="1" applyBorder="1" applyAlignment="1" applyProtection="1">
      <alignment horizontal="center" vertical="center"/>
      <protection hidden="1"/>
    </xf>
    <xf numFmtId="0" fontId="87" fillId="4" borderId="5" xfId="8" applyFont="1" applyFill="1" applyBorder="1" applyAlignment="1" applyProtection="1">
      <alignment horizontal="center" vertical="center"/>
      <protection hidden="1"/>
    </xf>
    <xf numFmtId="0" fontId="0" fillId="0" borderId="6"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539" fillId="7" borderId="0" xfId="1" applyFont="1" applyFill="1" applyAlignment="1">
      <alignment horizontal="center" vertical="center" wrapText="1"/>
    </xf>
    <xf numFmtId="0" fontId="211" fillId="0" borderId="0" xfId="1" applyFont="1" applyAlignment="1">
      <alignment horizontal="center" vertical="center"/>
    </xf>
    <xf numFmtId="0" fontId="540" fillId="2" borderId="377" xfId="1" applyFont="1" applyFill="1" applyBorder="1" applyAlignment="1">
      <alignment horizontal="center" vertical="center" wrapText="1"/>
    </xf>
    <xf numFmtId="0" fontId="540" fillId="2" borderId="378" xfId="1" applyFont="1" applyFill="1" applyBorder="1" applyAlignment="1">
      <alignment horizontal="center" vertical="center" wrapText="1"/>
    </xf>
    <xf numFmtId="0" fontId="177" fillId="2" borderId="379" xfId="1" applyFont="1" applyFill="1" applyBorder="1" applyAlignment="1">
      <alignment horizontal="center" vertical="center" wrapText="1"/>
    </xf>
    <xf numFmtId="0" fontId="540" fillId="2" borderId="380" xfId="1" applyFont="1" applyFill="1" applyBorder="1" applyAlignment="1">
      <alignment horizontal="center" vertical="center" wrapText="1"/>
    </xf>
    <xf numFmtId="0" fontId="540" fillId="2" borderId="0" xfId="1" applyFont="1" applyFill="1" applyBorder="1" applyAlignment="1">
      <alignment horizontal="center" vertical="center" wrapText="1"/>
    </xf>
    <xf numFmtId="0" fontId="177" fillId="2" borderId="381" xfId="1" applyFont="1" applyFill="1" applyBorder="1" applyAlignment="1">
      <alignment horizontal="center" vertical="center" wrapText="1"/>
    </xf>
    <xf numFmtId="0" fontId="64" fillId="2" borderId="380" xfId="1" applyFont="1" applyFill="1" applyBorder="1" applyAlignment="1">
      <alignment horizontal="center" vertical="center"/>
    </xf>
    <xf numFmtId="0" fontId="64" fillId="2" borderId="0" xfId="1" applyFont="1" applyFill="1" applyBorder="1" applyAlignment="1">
      <alignment horizontal="center" vertical="center"/>
    </xf>
    <xf numFmtId="0" fontId="64" fillId="2" borderId="381" xfId="1" applyFont="1" applyFill="1" applyBorder="1" applyAlignment="1">
      <alignment horizontal="center" vertical="center"/>
    </xf>
    <xf numFmtId="0" fontId="541" fillId="4" borderId="382" xfId="1" applyFont="1" applyFill="1" applyBorder="1" applyAlignment="1" applyProtection="1">
      <alignment horizontal="center"/>
      <protection locked="0"/>
    </xf>
    <xf numFmtId="0" fontId="356" fillId="0" borderId="383" xfId="1" applyFont="1" applyBorder="1"/>
    <xf numFmtId="0" fontId="9" fillId="0" borderId="383" xfId="1" applyFont="1" applyBorder="1" applyAlignment="1">
      <alignment horizontal="right"/>
    </xf>
    <xf numFmtId="203" fontId="42" fillId="37" borderId="0" xfId="1" applyNumberFormat="1" applyFont="1" applyFill="1" applyBorder="1" applyAlignment="1">
      <alignment horizontal="center"/>
    </xf>
    <xf numFmtId="204" fontId="355" fillId="0" borderId="383" xfId="1" applyNumberFormat="1" applyFont="1" applyFill="1" applyBorder="1" applyAlignment="1">
      <alignment horizontal="right"/>
    </xf>
    <xf numFmtId="0" fontId="357" fillId="0" borderId="384" xfId="1" applyFont="1" applyBorder="1" applyAlignment="1">
      <alignment horizontal="left" vertical="center"/>
    </xf>
    <xf numFmtId="0" fontId="17" fillId="0" borderId="385" xfId="1" applyFont="1" applyBorder="1" applyAlignment="1">
      <alignment horizontal="center"/>
    </xf>
    <xf numFmtId="0" fontId="92" fillId="0" borderId="386" xfId="1" applyFont="1" applyBorder="1" applyAlignment="1">
      <alignment horizontal="center" vertical="center"/>
    </xf>
    <xf numFmtId="0" fontId="542" fillId="0" borderId="387" xfId="1" applyFont="1" applyBorder="1" applyAlignment="1">
      <alignment horizontal="center" vertical="center"/>
    </xf>
    <xf numFmtId="0" fontId="542" fillId="0" borderId="388" xfId="1" applyFont="1" applyBorder="1" applyAlignment="1">
      <alignment horizontal="center" vertical="center"/>
    </xf>
    <xf numFmtId="0" fontId="42" fillId="4" borderId="389" xfId="1" applyFont="1" applyFill="1" applyBorder="1" applyAlignment="1">
      <alignment horizontal="center" vertical="center"/>
    </xf>
    <xf numFmtId="0" fontId="543" fillId="0" borderId="390" xfId="1" applyFont="1" applyBorder="1" applyAlignment="1">
      <alignment horizontal="center" vertical="center"/>
    </xf>
    <xf numFmtId="0" fontId="26" fillId="0" borderId="391" xfId="1" applyFont="1" applyBorder="1" applyAlignment="1">
      <alignment horizontal="center" vertical="center"/>
    </xf>
    <xf numFmtId="0" fontId="1" fillId="120" borderId="392" xfId="2" applyNumberFormat="1" applyFont="1" applyFill="1" applyBorder="1" applyAlignment="1"/>
    <xf numFmtId="205" fontId="212" fillId="120" borderId="393" xfId="1" applyNumberFormat="1" applyFont="1" applyFill="1" applyBorder="1" applyAlignment="1">
      <alignment horizontal="center" vertical="center"/>
    </xf>
    <xf numFmtId="206" fontId="544" fillId="120" borderId="393" xfId="1" applyNumberFormat="1" applyFont="1" applyFill="1" applyBorder="1" applyAlignment="1">
      <alignment horizontal="center" vertical="center"/>
    </xf>
    <xf numFmtId="10" fontId="544" fillId="120" borderId="393" xfId="21" applyNumberFormat="1" applyFont="1" applyFill="1" applyBorder="1" applyAlignment="1">
      <alignment horizontal="center" vertical="center"/>
    </xf>
    <xf numFmtId="205" fontId="17" fillId="120" borderId="394" xfId="1" applyNumberFormat="1" applyFont="1" applyFill="1" applyBorder="1" applyAlignment="1">
      <alignment horizontal="center" vertical="center"/>
    </xf>
    <xf numFmtId="208" fontId="545" fillId="120" borderId="393" xfId="1" applyNumberFormat="1" applyFont="1" applyFill="1" applyBorder="1" applyAlignment="1">
      <alignment horizontal="center" vertical="center"/>
    </xf>
    <xf numFmtId="208" fontId="26" fillId="120" borderId="395" xfId="1" applyNumberFormat="1" applyFont="1" applyFill="1" applyBorder="1" applyAlignment="1">
      <alignment horizontal="center" vertical="center"/>
    </xf>
    <xf numFmtId="0" fontId="546" fillId="114" borderId="392" xfId="2" applyNumberFormat="1" applyFont="1" applyFill="1" applyBorder="1" applyAlignment="1"/>
    <xf numFmtId="205" fontId="212" fillId="0" borderId="393" xfId="1" applyNumberFormat="1" applyFont="1" applyBorder="1" applyAlignment="1">
      <alignment horizontal="center" vertical="center"/>
    </xf>
    <xf numFmtId="206" fontId="544" fillId="0" borderId="393" xfId="1" applyNumberFormat="1" applyFont="1" applyBorder="1" applyAlignment="1">
      <alignment horizontal="center" vertical="center"/>
    </xf>
    <xf numFmtId="10" fontId="544" fillId="0" borderId="393" xfId="21" applyNumberFormat="1" applyFont="1" applyBorder="1" applyAlignment="1">
      <alignment horizontal="center" vertical="center"/>
    </xf>
    <xf numFmtId="205" fontId="17" fillId="0" borderId="393" xfId="1" applyNumberFormat="1" applyFont="1" applyBorder="1" applyAlignment="1">
      <alignment horizontal="center" vertical="center"/>
    </xf>
    <xf numFmtId="208" fontId="545" fillId="0" borderId="393" xfId="1" applyNumberFormat="1" applyFont="1" applyBorder="1" applyAlignment="1">
      <alignment horizontal="center" vertical="center"/>
    </xf>
    <xf numFmtId="208" fontId="26" fillId="0" borderId="395" xfId="1" applyNumberFormat="1" applyFont="1" applyBorder="1" applyAlignment="1">
      <alignment horizontal="center" vertical="center"/>
    </xf>
    <xf numFmtId="205" fontId="17" fillId="120" borderId="393" xfId="1" applyNumberFormat="1" applyFont="1" applyFill="1" applyBorder="1" applyAlignment="1">
      <alignment horizontal="center" vertical="center"/>
    </xf>
    <xf numFmtId="0" fontId="1" fillId="120" borderId="396" xfId="2" applyNumberFormat="1" applyFont="1" applyFill="1" applyBorder="1" applyAlignment="1"/>
    <xf numFmtId="205" fontId="212" fillId="120" borderId="397" xfId="1" applyNumberFormat="1" applyFont="1" applyFill="1" applyBorder="1" applyAlignment="1">
      <alignment horizontal="center" vertical="center"/>
    </xf>
    <xf numFmtId="206" fontId="544" fillId="120" borderId="397" xfId="1" applyNumberFormat="1" applyFont="1" applyFill="1" applyBorder="1" applyAlignment="1">
      <alignment horizontal="center" vertical="center"/>
    </xf>
    <xf numFmtId="10" fontId="544" fillId="120" borderId="397" xfId="21" applyNumberFormat="1" applyFont="1" applyFill="1" applyBorder="1" applyAlignment="1">
      <alignment horizontal="center" vertical="center"/>
    </xf>
    <xf numFmtId="205" fontId="17" fillId="120" borderId="397" xfId="1" applyNumberFormat="1" applyFont="1" applyFill="1" applyBorder="1" applyAlignment="1">
      <alignment horizontal="center" vertical="center"/>
    </xf>
    <xf numFmtId="208" fontId="545" fillId="120" borderId="397" xfId="1" applyNumberFormat="1" applyFont="1" applyFill="1" applyBorder="1" applyAlignment="1">
      <alignment horizontal="center" vertical="center"/>
    </xf>
    <xf numFmtId="208" fontId="26" fillId="120" borderId="398" xfId="1" applyNumberFormat="1" applyFont="1" applyFill="1" applyBorder="1" applyAlignment="1">
      <alignment horizontal="center" vertical="center"/>
    </xf>
    <xf numFmtId="0" fontId="26" fillId="0" borderId="399" xfId="1" applyFont="1" applyBorder="1" applyAlignment="1">
      <alignment horizontal="left"/>
    </xf>
    <xf numFmtId="207" fontId="26" fillId="0" borderId="400" xfId="1" applyNumberFormat="1" applyFont="1" applyBorder="1" applyAlignment="1">
      <alignment horizontal="center" vertical="center"/>
    </xf>
    <xf numFmtId="193" fontId="542" fillId="0" borderId="400" xfId="1" applyNumberFormat="1" applyFont="1" applyBorder="1" applyAlignment="1">
      <alignment horizontal="center" vertical="center"/>
    </xf>
    <xf numFmtId="10" fontId="542" fillId="0" borderId="400" xfId="21" applyNumberFormat="1" applyFont="1" applyBorder="1" applyAlignment="1">
      <alignment horizontal="center" vertical="center"/>
    </xf>
    <xf numFmtId="203" fontId="17" fillId="34" borderId="400" xfId="1" applyNumberFormat="1" applyFont="1" applyFill="1" applyBorder="1" applyAlignment="1">
      <alignment horizontal="center" vertical="center"/>
    </xf>
    <xf numFmtId="208" fontId="544" fillId="0" borderId="400" xfId="1" applyNumberFormat="1" applyFont="1" applyBorder="1" applyAlignment="1">
      <alignment horizontal="center" vertical="center"/>
    </xf>
    <xf numFmtId="208" fontId="26" fillId="0" borderId="401" xfId="1" applyNumberFormat="1" applyFont="1" applyBorder="1" applyAlignment="1">
      <alignment horizontal="center" vertical="center"/>
    </xf>
    <xf numFmtId="0" fontId="64" fillId="2" borderId="402" xfId="1" applyFont="1" applyFill="1" applyBorder="1" applyAlignment="1">
      <alignment horizontal="left" vertical="center"/>
    </xf>
    <xf numFmtId="0" fontId="547" fillId="0" borderId="403" xfId="10" applyFont="1" applyBorder="1" applyAlignment="1" applyProtection="1">
      <alignment horizontal="left" vertical="center"/>
    </xf>
    <xf numFmtId="0" fontId="36" fillId="0" borderId="403" xfId="1" applyFont="1" applyBorder="1" applyAlignment="1">
      <alignment horizontal="left" vertical="center"/>
    </xf>
    <xf numFmtId="0" fontId="36" fillId="0" borderId="404" xfId="1" applyFont="1" applyBorder="1" applyAlignment="1">
      <alignment horizontal="left" vertical="center"/>
    </xf>
    <xf numFmtId="164" fontId="18" fillId="4" borderId="405" xfId="3" applyNumberFormat="1" applyFont="1" applyFill="1" applyBorder="1" applyAlignment="1">
      <alignment horizontal="right" vertical="center"/>
    </xf>
    <xf numFmtId="164" fontId="18" fillId="4" borderId="406" xfId="3" applyNumberFormat="1" applyFont="1" applyFill="1" applyBorder="1" applyAlignment="1">
      <alignment vertical="center"/>
    </xf>
    <xf numFmtId="0" fontId="1" fillId="4" borderId="406" xfId="2" applyFill="1" applyBorder="1"/>
    <xf numFmtId="0" fontId="1" fillId="4" borderId="407" xfId="2" applyFill="1" applyBorder="1"/>
    <xf numFmtId="0" fontId="21" fillId="4" borderId="380" xfId="4" applyNumberFormat="1" applyFont="1" applyFill="1" applyBorder="1" applyAlignment="1">
      <alignment vertical="center"/>
    </xf>
    <xf numFmtId="164" fontId="18" fillId="4" borderId="0" xfId="3" applyNumberFormat="1" applyFont="1" applyFill="1" applyBorder="1" applyAlignment="1">
      <alignment vertical="center"/>
    </xf>
    <xf numFmtId="0" fontId="1" fillId="4" borderId="381" xfId="2" applyFill="1" applyBorder="1"/>
    <xf numFmtId="0" fontId="111" fillId="4" borderId="408" xfId="1" applyFont="1" applyFill="1" applyBorder="1" applyAlignment="1">
      <alignment horizontal="left" vertical="center"/>
    </xf>
    <xf numFmtId="0" fontId="1" fillId="4" borderId="409" xfId="2" applyFill="1" applyBorder="1"/>
    <xf numFmtId="0" fontId="1" fillId="4" borderId="410" xfId="2" applyFill="1" applyBorder="1"/>
    <xf numFmtId="0" fontId="211" fillId="0" borderId="0" xfId="1" applyFont="1" applyAlignment="1">
      <alignment horizontal="left" vertical="center"/>
    </xf>
    <xf numFmtId="0" fontId="110" fillId="0" borderId="383" xfId="1" applyFont="1" applyBorder="1" applyAlignment="1">
      <alignment horizontal="right"/>
    </xf>
    <xf numFmtId="194" fontId="48" fillId="13" borderId="383" xfId="1" applyNumberFormat="1" applyFont="1" applyFill="1" applyBorder="1" applyAlignment="1">
      <alignment horizontal="center"/>
    </xf>
    <xf numFmtId="0" fontId="211" fillId="4" borderId="383" xfId="1" applyNumberFormat="1" applyFont="1" applyFill="1" applyBorder="1" applyAlignment="1">
      <alignment horizontal="right"/>
    </xf>
    <xf numFmtId="0" fontId="48" fillId="0" borderId="386" xfId="1" applyFont="1" applyBorder="1" applyAlignment="1">
      <alignment horizontal="center" vertical="center"/>
    </xf>
    <xf numFmtId="0" fontId="542" fillId="0" borderId="411" xfId="1" applyFont="1" applyBorder="1" applyAlignment="1">
      <alignment horizontal="center" vertical="center"/>
    </xf>
    <xf numFmtId="0" fontId="48" fillId="4" borderId="389" xfId="1" applyFont="1" applyFill="1" applyBorder="1" applyAlignment="1">
      <alignment horizontal="center" vertical="center"/>
    </xf>
    <xf numFmtId="0" fontId="543" fillId="0" borderId="386" xfId="1" applyFont="1" applyBorder="1" applyAlignment="1">
      <alignment horizontal="center" vertical="center"/>
    </xf>
    <xf numFmtId="194" fontId="110" fillId="120" borderId="393" xfId="1" applyNumberFormat="1" applyFont="1" applyFill="1" applyBorder="1" applyAlignment="1">
      <alignment horizontal="center" vertical="center"/>
    </xf>
    <xf numFmtId="218" fontId="17" fillId="120" borderId="393" xfId="1" applyNumberFormat="1" applyFont="1" applyFill="1" applyBorder="1" applyAlignment="1">
      <alignment horizontal="center" vertical="center"/>
    </xf>
    <xf numFmtId="194" fontId="110" fillId="0" borderId="393" xfId="1" applyNumberFormat="1" applyFont="1" applyBorder="1" applyAlignment="1">
      <alignment horizontal="center" vertical="center"/>
    </xf>
    <xf numFmtId="218" fontId="17" fillId="0" borderId="393" xfId="1" applyNumberFormat="1" applyFont="1" applyBorder="1" applyAlignment="1">
      <alignment horizontal="center" vertical="center"/>
    </xf>
    <xf numFmtId="204" fontId="26" fillId="0" borderId="400" xfId="1" applyNumberFormat="1" applyFont="1" applyBorder="1" applyAlignment="1">
      <alignment horizontal="center" vertical="center"/>
    </xf>
    <xf numFmtId="0" fontId="232" fillId="30" borderId="0" xfId="1" applyFont="1" applyFill="1" applyAlignment="1">
      <alignment vertical="center"/>
    </xf>
    <xf numFmtId="0" fontId="70" fillId="30" borderId="0" xfId="1" applyFont="1" applyFill="1" applyBorder="1" applyAlignment="1">
      <alignment horizontal="center" vertical="center"/>
    </xf>
    <xf numFmtId="0" fontId="1" fillId="120" borderId="392" xfId="2" applyNumberFormat="1" applyFont="1" applyFill="1" applyBorder="1" applyAlignment="1">
      <alignment vertical="center"/>
    </xf>
    <xf numFmtId="0" fontId="546" fillId="114" borderId="392" xfId="2" applyNumberFormat="1" applyFont="1" applyFill="1" applyBorder="1" applyAlignment="1">
      <alignment vertical="center"/>
    </xf>
    <xf numFmtId="0" fontId="17" fillId="0" borderId="412" xfId="1" applyNumberFormat="1" applyFont="1" applyFill="1" applyBorder="1" applyAlignment="1">
      <alignment horizontal="left" vertical="center"/>
    </xf>
    <xf numFmtId="0" fontId="11" fillId="0" borderId="412" xfId="1" applyFont="1" applyFill="1" applyBorder="1" applyAlignment="1">
      <alignment horizontal="center" vertical="center"/>
    </xf>
    <xf numFmtId="0" fontId="17" fillId="22" borderId="412" xfId="1" applyNumberFormat="1" applyFont="1" applyFill="1" applyBorder="1" applyAlignment="1">
      <alignment horizontal="left" vertical="center"/>
    </xf>
    <xf numFmtId="0" fontId="11" fillId="22" borderId="412" xfId="1" applyFont="1" applyFill="1" applyBorder="1" applyAlignment="1">
      <alignment horizontal="center" vertical="center"/>
    </xf>
    <xf numFmtId="0" fontId="437" fillId="4" borderId="0" xfId="0" applyFont="1" applyFill="1" applyAlignment="1">
      <alignment vertical="center" wrapText="1"/>
    </xf>
    <xf numFmtId="0" fontId="437" fillId="4" borderId="0" xfId="0" applyFont="1" applyFill="1" applyAlignment="1">
      <alignment vertical="center"/>
    </xf>
  </cellXfs>
  <cellStyles count="24">
    <cellStyle name="Lien hypertexte" xfId="8" builtinId="8"/>
    <cellStyle name="Lien hypertexte 2" xfId="23"/>
    <cellStyle name="Lien hypertexte 3" xfId="10"/>
    <cellStyle name="Lien hypertexte 4" xfId="11"/>
    <cellStyle name="Lien hypertexte 5" xfId="5"/>
    <cellStyle name="Normal" xfId="0" builtinId="0"/>
    <cellStyle name="Normal 2" xfId="18"/>
    <cellStyle name="Normal 2 2" xfId="1"/>
    <cellStyle name="Normal 2 2 2" xfId="9"/>
    <cellStyle name="Normal 4" xfId="2"/>
    <cellStyle name="Normal 4 3" xfId="6"/>
    <cellStyle name="Normal_Bons de commande livraison" xfId="13"/>
    <cellStyle name="Normal_Comparer recettes 2009 OK 2" xfId="3"/>
    <cellStyle name="Normal_Conditionnement 3 décembre" xfId="12"/>
    <cellStyle name="Normal_Cuissons Températures portait16-11-2006" xfId="14"/>
    <cellStyle name="Normal_EFECTIF1" xfId="17"/>
    <cellStyle name="Normal_EFECTIF1 2" xfId="20"/>
    <cellStyle name="Normal_Forum Marais 15 09 2001" xfId="4"/>
    <cellStyle name="Normal_Forum Marais 15 09 2001 2" xfId="7"/>
    <cellStyle name="Normal_MS Définitions_1" xfId="16"/>
    <cellStyle name="Normal_Salaires 2002 Modèle" xfId="22"/>
    <cellStyle name="Normal_space" xfId="15"/>
    <cellStyle name="Pourcentage 2" xfId="19"/>
    <cellStyle name="Pourcentage 2 2" xfId="21"/>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2" defaultPivotStyle="PivotStyleLight16"/>
  <colors>
    <mruColors>
      <color rgb="FF0000FF"/>
      <color rgb="FFFFFFCC"/>
      <color rgb="FF8BE1FF"/>
      <color rgb="FF0070C0"/>
      <color rgb="FF800080"/>
      <color rgb="FFC00000"/>
      <color rgb="FF25C6FF"/>
      <color rgb="FFCCFFCC"/>
      <color rgb="FFCC00FF"/>
      <color rgb="FF33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fr-FR"/>
              <a:t>Boudin blanc Ceproc</a:t>
            </a:r>
          </a:p>
        </c:rich>
      </c:tx>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fr-FR"/>
        </a:p>
      </c:txPr>
    </c:title>
    <c:autoTitleDeleted val="0"/>
    <c:plotArea>
      <c:layout/>
      <c:radarChart>
        <c:radarStyle val="marker"/>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'boudin-blanc-CEPROC'!$O$103:$O$120</c:f>
              <c:strCache>
                <c:ptCount val="18"/>
                <c:pt idx="0">
                  <c:v>Lait aromatisé : 40 %</c:v>
                </c:pt>
                <c:pt idx="1">
                  <c:v>poitrine de porc : 23,6 %</c:v>
                </c:pt>
                <c:pt idx="2">
                  <c:v>maigre de porc : 14 %</c:v>
                </c:pt>
                <c:pt idx="3">
                  <c:v>gras d’épaule ou de jambon : 9 %</c:v>
                </c:pt>
                <c:pt idx="4">
                  <c:v>blanc d'œufs : 6 %</c:v>
                </c:pt>
                <c:pt idx="5">
                  <c:v>œufs entiers :3 %</c:v>
                </c:pt>
                <c:pt idx="6">
                  <c:v>sel fin : 1,65 %</c:v>
                </c:pt>
                <c:pt idx="7">
                  <c:v>porto : 1 %</c:v>
                </c:pt>
                <c:pt idx="8">
                  <c:v>amidon de mais ou fécule de pomme de terre : 1 %</c:v>
                </c:pt>
                <c:pt idx="9">
                  <c:v>Grand Marnier ou fleur d'oranger : 0,5 %</c:v>
                </c:pt>
                <c:pt idx="10">
                  <c:v>poivre blanc pulvérisé : 0,1 %</c:v>
                </c:pt>
                <c:pt idx="11">
                  <c:v>quatre épices : 0,05 %</c:v>
                </c:pt>
                <c:pt idx="12">
                  <c:v>acide ascorbique : 0,05 %</c:v>
                </c:pt>
                <c:pt idx="13">
                  <c:v>coriandre moulue : 0,02 %</c:v>
                </c:pt>
                <c:pt idx="14">
                  <c:v>laurier en poudre : 0,01 %</c:v>
                </c:pt>
                <c:pt idx="15">
                  <c:v>piment doux : 0,01 %</c:v>
                </c:pt>
                <c:pt idx="16">
                  <c:v>gingembre en poudre : 0,01 %</c:v>
                </c:pt>
                <c:pt idx="17">
                  <c:v>Menus de porc</c:v>
                </c:pt>
              </c:strCache>
            </c:strRef>
          </c:cat>
          <c:val>
            <c:numRef>
              <c:f>'boudin-blanc-CEPROC'!$P$103:$P$120</c:f>
              <c:numCache>
                <c:formatCode>#\ ##0" g"</c:formatCode>
                <c:ptCount val="18"/>
                <c:pt idx="0">
                  <c:v>400</c:v>
                </c:pt>
                <c:pt idx="1">
                  <c:v>236</c:v>
                </c:pt>
                <c:pt idx="2">
                  <c:v>140</c:v>
                </c:pt>
                <c:pt idx="3">
                  <c:v>90</c:v>
                </c:pt>
                <c:pt idx="4">
                  <c:v>60</c:v>
                </c:pt>
                <c:pt idx="5">
                  <c:v>30</c:v>
                </c:pt>
                <c:pt idx="6">
                  <c:v>16.5</c:v>
                </c:pt>
                <c:pt idx="7">
                  <c:v>10</c:v>
                </c:pt>
                <c:pt idx="8">
                  <c:v>10</c:v>
                </c:pt>
                <c:pt idx="9">
                  <c:v>5</c:v>
                </c:pt>
                <c:pt idx="10">
                  <c:v>1</c:v>
                </c:pt>
                <c:pt idx="11" formatCode="#\ ##0.0&quot; g&quot;">
                  <c:v>0.5</c:v>
                </c:pt>
                <c:pt idx="12" formatCode="#\ ##0.0&quot; g&quot;">
                  <c:v>0.5</c:v>
                </c:pt>
                <c:pt idx="13" formatCode="#\ ##0.0&quot; g&quot;">
                  <c:v>0.2</c:v>
                </c:pt>
                <c:pt idx="14" formatCode="#\ ##0.0&quot; g&quot;">
                  <c:v>0.1</c:v>
                </c:pt>
                <c:pt idx="15" formatCode="#\ ##0.0&quot; g&quot;">
                  <c:v>0.1</c:v>
                </c:pt>
                <c:pt idx="16" formatCode="#\ ##0.0&quot; g&quot;">
                  <c:v>0.1</c:v>
                </c:pt>
                <c:pt idx="17" formatCode="General">
                  <c:v>0</c:v>
                </c:pt>
              </c:numCache>
            </c:numRef>
          </c:val>
        </c:ser>
        <c:dLbls>
          <c:showLegendKey val="0"/>
          <c:showVal val="1"/>
          <c:showCatName val="0"/>
          <c:showSerName val="0"/>
          <c:showPercent val="0"/>
          <c:showBubbleSize val="0"/>
        </c:dLbls>
        <c:axId val="425722944"/>
        <c:axId val="425721264"/>
      </c:radarChart>
      <c:catAx>
        <c:axId val="425722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fr-FR"/>
          </a:p>
        </c:txPr>
        <c:crossAx val="425721264"/>
        <c:crosses val="autoZero"/>
        <c:auto val="1"/>
        <c:lblAlgn val="ctr"/>
        <c:lblOffset val="100"/>
        <c:noMultiLvlLbl val="0"/>
      </c:catAx>
      <c:valAx>
        <c:axId val="425721264"/>
        <c:scaling>
          <c:orientation val="minMax"/>
        </c:scaling>
        <c:delete val="0"/>
        <c:axPos val="l"/>
        <c:majorGridlines>
          <c:spPr>
            <a:ln w="9525" cap="flat" cmpd="sng" algn="ctr">
              <a:solidFill>
                <a:schemeClr val="lt1">
                  <a:lumMod val="95000"/>
                  <a:alpha val="10000"/>
                </a:schemeClr>
              </a:solidFill>
              <a:round/>
            </a:ln>
            <a:effectLst/>
          </c:spPr>
        </c:majorGridlines>
        <c:numFmt formatCode="#\ ##0&quot; 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fr-FR"/>
          </a:p>
        </c:txPr>
        <c:crossAx val="42572294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fr-FR"/>
              <a:t>Boudin blanc au coganc "très bonne qualité "  Fiche de fabrication  :  OLIDA   recette  1936</a:t>
            </a:r>
          </a:p>
        </c:rich>
      </c:tx>
      <c:layout>
        <c:manualLayout>
          <c:xMode val="edge"/>
          <c:yMode val="edge"/>
          <c:x val="0.18197407372437502"/>
          <c:y val="1.3733935078004239E-2"/>
        </c:manualLayout>
      </c:layout>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fr-FR"/>
        </a:p>
      </c:txPr>
    </c:title>
    <c:autoTitleDeleted val="0"/>
    <c:plotArea>
      <c:layout>
        <c:manualLayout>
          <c:layoutTarget val="inner"/>
          <c:xMode val="edge"/>
          <c:yMode val="edge"/>
          <c:x val="9.3566967263849776E-2"/>
          <c:y val="0.13063692561083542"/>
          <c:w val="0.58701982978707645"/>
          <c:h val="0.81171217058010781"/>
        </c:manualLayout>
      </c:layout>
      <c:barChart>
        <c:barDir val="col"/>
        <c:grouping val="clustered"/>
        <c:varyColors val="0"/>
        <c:ser>
          <c:idx val="0"/>
          <c:order val="0"/>
          <c:tx>
            <c:strRef>
              <c:f>'Modèles Michel Mariette'!$B$13</c:f>
              <c:strCache>
                <c:ptCount val="1"/>
                <c:pt idx="0">
                  <c:v>Maigre de volaille</c:v>
                </c:pt>
              </c:strCache>
            </c:strRef>
          </c:tx>
          <c:spPr>
            <a:gradFill>
              <a:gsLst>
                <a:gs pos="100000">
                  <a:schemeClr val="accent1">
                    <a:lumMod val="60000"/>
                    <a:lumOff val="40000"/>
                  </a:schemeClr>
                </a:gs>
                <a:gs pos="0">
                  <a:schemeClr val="accent1"/>
                </a:gs>
              </a:gsLst>
              <a:lin ang="5400000" scaled="0"/>
            </a:gradFill>
            <a:ln w="19050">
              <a:solidFill>
                <a:schemeClr val="lt1"/>
              </a:solidFill>
            </a:ln>
            <a:effectLst/>
          </c:spPr>
          <c:invertIfNegative val="0"/>
          <c:dLbls>
            <c:dLbl>
              <c:idx val="0"/>
              <c:layout/>
              <c:tx>
                <c:rich>
                  <a:bodyPr/>
                  <a:lstStyle/>
                  <a:p>
                    <a:fld id="{4BF6DD68-AE29-432D-ABDD-A975307662B7}" type="CELLRANGE">
                      <a:rPr lang="en-US"/>
                      <a:pPr/>
                      <a:t>[PLAGECELL]</a:t>
                    </a:fld>
                    <a:endParaRPr lang="fr-FR"/>
                  </a:p>
                </c:rich>
              </c:tx>
              <c:showLegendKey val="0"/>
              <c:showVal val="0"/>
              <c:showCatName val="0"/>
              <c:showSerName val="0"/>
              <c:showPercent val="0"/>
              <c:showBubbleSize val="0"/>
              <c:extLst>
                <c:ext xmlns:c15="http://schemas.microsoft.com/office/drawing/2012/chart" uri="{CE6537A1-D6FC-4f65-9D91-7224C49458BB}">
                  <c15:layout/>
                  <c15:dlblFieldTable/>
                  <c15:showDataLabelsRange val="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trendline>
            <c:spPr>
              <a:ln w="19050" cap="rnd">
                <a:solidFill>
                  <a:schemeClr val="accent1"/>
                </a:solidFill>
              </a:ln>
              <a:effectLst/>
            </c:spPr>
            <c:trendlineType val="linear"/>
            <c:dispRSqr val="0"/>
            <c:dispEq val="0"/>
          </c:trendline>
          <c:val>
            <c:numRef>
              <c:f>'Modèles Michel Mariette'!$F$13</c:f>
              <c:numCache>
                <c:formatCode>#\ ##0.000" kg"</c:formatCode>
                <c:ptCount val="1"/>
                <c:pt idx="0">
                  <c:v>6.4839094159713948</c:v>
                </c:pt>
              </c:numCache>
            </c:numRef>
          </c:val>
          <c:extLst>
            <c:ext xmlns:c15="http://schemas.microsoft.com/office/drawing/2012/chart" uri="{02D57815-91ED-43cb-92C2-25804820EDAC}">
              <c15:datalabelsRange>
                <c15:f>'Modèles Michel Mariette'!$F$13:$F$23</c15:f>
                <c15:dlblRangeCache>
                  <c:ptCount val="11"/>
                  <c:pt idx="0">
                    <c:v>6.484 kg</c:v>
                  </c:pt>
                  <c:pt idx="1">
                    <c:v>3.051 kg</c:v>
                  </c:pt>
                  <c:pt idx="2">
                    <c:v>3.051 kg</c:v>
                  </c:pt>
                  <c:pt idx="3">
                    <c:v>5.721 kg</c:v>
                  </c:pt>
                  <c:pt idx="4">
                    <c:v>1.144 kg</c:v>
                  </c:pt>
                  <c:pt idx="5">
                    <c:v>0.315 kg</c:v>
                  </c:pt>
                  <c:pt idx="6">
                    <c:v>0.019 kg</c:v>
                  </c:pt>
                  <c:pt idx="7">
                    <c:v>0.019 kg</c:v>
                  </c:pt>
                  <c:pt idx="8">
                    <c:v>0.191 kg</c:v>
                  </c:pt>
                  <c:pt idx="9">
                    <c:v>0.005 kg</c:v>
                  </c:pt>
                  <c:pt idx="10">
                    <c:v>0.000 kg</c:v>
                  </c:pt>
                </c15:dlblRangeCache>
              </c15:datalabelsRange>
            </c:ext>
          </c:extLst>
        </c:ser>
        <c:ser>
          <c:idx val="1"/>
          <c:order val="1"/>
          <c:tx>
            <c:strRef>
              <c:f>'Modèles Michel Mariette'!$B$14</c:f>
              <c:strCache>
                <c:ptCount val="1"/>
                <c:pt idx="0">
                  <c:v>Poitrine de porc extra</c:v>
                </c:pt>
              </c:strCache>
            </c:strRef>
          </c:tx>
          <c:spPr>
            <a:gradFill>
              <a:gsLst>
                <a:gs pos="100000">
                  <a:schemeClr val="accent2">
                    <a:lumMod val="60000"/>
                    <a:lumOff val="40000"/>
                  </a:schemeClr>
                </a:gs>
                <a:gs pos="0">
                  <a:schemeClr val="accent2"/>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2"/>
                </a:solidFill>
              </a:ln>
              <a:effectLst/>
            </c:spPr>
            <c:trendlineType val="linear"/>
            <c:dispRSqr val="0"/>
            <c:dispEq val="0"/>
          </c:trendline>
          <c:trendline>
            <c:spPr>
              <a:ln w="19050" cap="rnd">
                <a:solidFill>
                  <a:schemeClr val="accent2"/>
                </a:solidFill>
              </a:ln>
              <a:effectLst/>
            </c:spPr>
            <c:trendlineType val="linear"/>
            <c:dispRSqr val="0"/>
            <c:dispEq val="0"/>
          </c:trendline>
          <c:val>
            <c:numRef>
              <c:f>'Modèles Michel Mariette'!$F$14</c:f>
              <c:numCache>
                <c:formatCode>#\ ##0.000" kg"</c:formatCode>
                <c:ptCount val="1"/>
                <c:pt idx="0">
                  <c:v>3.0512514898688914</c:v>
                </c:pt>
              </c:numCache>
            </c:numRef>
          </c:val>
        </c:ser>
        <c:ser>
          <c:idx val="2"/>
          <c:order val="2"/>
          <c:tx>
            <c:strRef>
              <c:f>'Modèles Michel Mariette'!$B$15</c:f>
              <c:strCache>
                <c:ptCount val="1"/>
                <c:pt idx="0">
                  <c:v>Gorge parée</c:v>
                </c:pt>
              </c:strCache>
            </c:strRef>
          </c:tx>
          <c:spPr>
            <a:gradFill>
              <a:gsLst>
                <a:gs pos="100000">
                  <a:schemeClr val="accent3">
                    <a:lumMod val="60000"/>
                    <a:lumOff val="40000"/>
                  </a:schemeClr>
                </a:gs>
                <a:gs pos="0">
                  <a:schemeClr val="accent3"/>
                </a:gs>
              </a:gsLst>
              <a:lin ang="5400000" scaled="0"/>
            </a:gradFill>
            <a:ln w="19050">
              <a:solidFill>
                <a:schemeClr val="lt1"/>
              </a:solidFill>
            </a:ln>
            <a:effectLst/>
          </c:spPr>
          <c:invertIfNegative val="0"/>
          <c:dLbls>
            <c:dLbl>
              <c:idx val="0"/>
              <c:layout>
                <c:manualLayout>
                  <c:x val="0"/>
                  <c:y val="4.1201705599214461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trendline>
            <c:spPr>
              <a:ln w="19050" cap="rnd">
                <a:solidFill>
                  <a:schemeClr val="accent3"/>
                </a:solidFill>
              </a:ln>
              <a:effectLst/>
            </c:spPr>
            <c:trendlineType val="linear"/>
            <c:dispRSqr val="0"/>
            <c:dispEq val="0"/>
          </c:trendline>
          <c:val>
            <c:numRef>
              <c:f>'Modèles Michel Mariette'!$F$15</c:f>
              <c:numCache>
                <c:formatCode>#\ ##0.000" kg"</c:formatCode>
                <c:ptCount val="1"/>
                <c:pt idx="0">
                  <c:v>3.0512514898688914</c:v>
                </c:pt>
              </c:numCache>
            </c:numRef>
          </c:val>
        </c:ser>
        <c:ser>
          <c:idx val="3"/>
          <c:order val="3"/>
          <c:tx>
            <c:strRef>
              <c:f>'Modèles Michel Mariette'!$B$16</c:f>
              <c:strCache>
                <c:ptCount val="1"/>
                <c:pt idx="0">
                  <c:v>Lait entier 60°C ( aromatisé)</c:v>
                </c:pt>
              </c:strCache>
            </c:strRef>
          </c:tx>
          <c:spPr>
            <a:gradFill>
              <a:gsLst>
                <a:gs pos="100000">
                  <a:schemeClr val="accent4">
                    <a:lumMod val="60000"/>
                    <a:lumOff val="40000"/>
                  </a:schemeClr>
                </a:gs>
                <a:gs pos="0">
                  <a:schemeClr val="accent4"/>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'Modèles Michel Mariette'!$F$16</c:f>
              <c:numCache>
                <c:formatCode>#\ ##0.000" kg"</c:formatCode>
                <c:ptCount val="1"/>
                <c:pt idx="0">
                  <c:v>5.7210965435041716</c:v>
                </c:pt>
              </c:numCache>
            </c:numRef>
          </c:val>
        </c:ser>
        <c:ser>
          <c:idx val="4"/>
          <c:order val="4"/>
          <c:tx>
            <c:strRef>
              <c:f>'Modèles Michel Mariette'!$B$17</c:f>
              <c:strCache>
                <c:ptCount val="1"/>
                <c:pt idx="0">
                  <c:v>Œufs entiers</c:v>
                </c:pt>
              </c:strCache>
            </c:strRef>
          </c:tx>
          <c:spPr>
            <a:gradFill>
              <a:gsLst>
                <a:gs pos="100000">
                  <a:schemeClr val="accent5">
                    <a:lumMod val="60000"/>
                    <a:lumOff val="40000"/>
                  </a:schemeClr>
                </a:gs>
                <a:gs pos="0">
                  <a:schemeClr val="accent5"/>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round/>
                    </a:ln>
                    <a:effectLst/>
                  </c:spPr>
                </c15:leaderLines>
              </c:ext>
            </c:extLst>
          </c:dLbls>
          <c:val>
            <c:numRef>
              <c:f>'Modèles Michel Mariette'!$F$17</c:f>
              <c:numCache>
                <c:formatCode>#\ ##0.000" kg"</c:formatCode>
                <c:ptCount val="1"/>
                <c:pt idx="0">
                  <c:v>1.1442193087008343</c:v>
                </c:pt>
              </c:numCache>
            </c:numRef>
          </c:val>
        </c:ser>
        <c:ser>
          <c:idx val="5"/>
          <c:order val="5"/>
          <c:tx>
            <c:strRef>
              <c:f>'Modèles Michel Mariette'!$B$18</c:f>
              <c:strCache>
                <c:ptCount val="1"/>
                <c:pt idx="0">
                  <c:v>Sel fin</c:v>
                </c:pt>
              </c:strCache>
            </c:strRef>
          </c:tx>
          <c:spPr>
            <a:gradFill>
              <a:gsLst>
                <a:gs pos="100000">
                  <a:schemeClr val="accent6">
                    <a:lumMod val="60000"/>
                    <a:lumOff val="40000"/>
                  </a:schemeClr>
                </a:gs>
                <a:gs pos="0">
                  <a:schemeClr val="accent6"/>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round/>
                    </a:ln>
                    <a:effectLst/>
                  </c:spPr>
                </c15:leaderLines>
              </c:ext>
            </c:extLst>
          </c:dLbls>
          <c:val>
            <c:numRef>
              <c:f>'Modèles Michel Mariette'!$F$18</c:f>
              <c:numCache>
                <c:formatCode>#\ ##0.000" kg"</c:formatCode>
                <c:ptCount val="1"/>
                <c:pt idx="0">
                  <c:v>0.31466030989272942</c:v>
                </c:pt>
              </c:numCache>
            </c:numRef>
          </c:val>
        </c:ser>
        <c:ser>
          <c:idx val="6"/>
          <c:order val="6"/>
          <c:tx>
            <c:strRef>
              <c:f>'Modèles Michel Mariette'!$B$19</c:f>
              <c:strCache>
                <c:ptCount val="1"/>
                <c:pt idx="0">
                  <c:v>Poivre blanc</c:v>
                </c:pt>
              </c:strCache>
            </c:strRef>
          </c:tx>
          <c:spPr>
            <a:gradFill>
              <a:gsLst>
                <a:gs pos="100000">
                  <a:schemeClr val="accent1">
                    <a:lumMod val="60000"/>
                    <a:lumMod val="60000"/>
                    <a:lumOff val="40000"/>
                  </a:schemeClr>
                </a:gs>
                <a:gs pos="0">
                  <a:schemeClr val="accent1">
                    <a:lumMod val="60000"/>
                  </a:schemeClr>
                </a:gs>
              </a:gsLst>
              <a:lin ang="5400000" scaled="0"/>
            </a:gradFill>
            <a:ln w="19050">
              <a:solidFill>
                <a:schemeClr val="lt1"/>
              </a:solidFill>
            </a:ln>
            <a:effectLst/>
          </c:spPr>
          <c:invertIfNegative val="0"/>
          <c:val>
            <c:numRef>
              <c:f>'Modèles Michel Mariette'!$F$19</c:f>
              <c:numCache>
                <c:formatCode>#\ ##0.000" kg"</c:formatCode>
                <c:ptCount val="1"/>
                <c:pt idx="0">
                  <c:v>1.9070321811680571E-2</c:v>
                </c:pt>
              </c:numCache>
            </c:numRef>
          </c:val>
        </c:ser>
        <c:ser>
          <c:idx val="7"/>
          <c:order val="7"/>
          <c:tx>
            <c:strRef>
              <c:f>'Modèles Michel Mariette'!$B$20</c:f>
              <c:strCache>
                <c:ptCount val="1"/>
                <c:pt idx="0">
                  <c:v>4 épices</c:v>
                </c:pt>
              </c:strCache>
            </c:strRef>
          </c:tx>
          <c:spPr>
            <a:gradFill>
              <a:gsLst>
                <a:gs pos="100000">
                  <a:schemeClr val="accent2">
                    <a:lumMod val="60000"/>
                    <a:lumMod val="60000"/>
                    <a:lumOff val="40000"/>
                  </a:schemeClr>
                </a:gs>
                <a:gs pos="0">
                  <a:schemeClr val="accent2">
                    <a:lumMod val="60000"/>
                  </a:schemeClr>
                </a:gs>
              </a:gsLst>
              <a:lin ang="5400000" scaled="0"/>
            </a:gradFill>
            <a:ln w="19050">
              <a:solidFill>
                <a:schemeClr val="lt1"/>
              </a:solidFill>
            </a:ln>
            <a:effectLst/>
          </c:spPr>
          <c:invertIfNegative val="0"/>
          <c:val>
            <c:numRef>
              <c:f>'Modèles Michel Mariette'!$F$20</c:f>
              <c:numCache>
                <c:formatCode>#\ ##0.000" kg"</c:formatCode>
                <c:ptCount val="1"/>
                <c:pt idx="0">
                  <c:v>1.9070321811680571E-2</c:v>
                </c:pt>
              </c:numCache>
            </c:numRef>
          </c:val>
        </c:ser>
        <c:ser>
          <c:idx val="8"/>
          <c:order val="8"/>
          <c:tx>
            <c:strRef>
              <c:f>'Modèles Michel Mariette'!$B$21</c:f>
              <c:strCache>
                <c:ptCount val="1"/>
                <c:pt idx="0">
                  <c:v>Cognac</c:v>
                </c:pt>
              </c:strCache>
            </c:strRef>
          </c:tx>
          <c:spPr>
            <a:gradFill>
              <a:gsLst>
                <a:gs pos="100000">
                  <a:schemeClr val="accent3">
                    <a:lumMod val="60000"/>
                    <a:lumMod val="60000"/>
                    <a:lumOff val="40000"/>
                  </a:schemeClr>
                </a:gs>
                <a:gs pos="0">
                  <a:schemeClr val="accent3">
                    <a:lumMod val="60000"/>
                  </a:schemeClr>
                </a:gs>
              </a:gsLst>
              <a:lin ang="5400000" scaled="0"/>
            </a:gra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round/>
                    </a:ln>
                    <a:effectLst/>
                  </c:spPr>
                </c15:leaderLines>
              </c:ext>
            </c:extLst>
          </c:dLbls>
          <c:val>
            <c:numRef>
              <c:f>'Modèles Michel Mariette'!$F$21</c:f>
              <c:numCache>
                <c:formatCode>#\ ##0.000" kg"</c:formatCode>
                <c:ptCount val="1"/>
                <c:pt idx="0">
                  <c:v>0.19070321811680571</c:v>
                </c:pt>
              </c:numCache>
            </c:numRef>
          </c:val>
        </c:ser>
        <c:ser>
          <c:idx val="9"/>
          <c:order val="9"/>
          <c:tx>
            <c:strRef>
              <c:f>'Modèles Michel Mariette'!$B$22</c:f>
              <c:strCache>
                <c:ptCount val="1"/>
                <c:pt idx="0">
                  <c:v>Eau de fleurs d' oranger </c:v>
                </c:pt>
              </c:strCache>
            </c:strRef>
          </c:tx>
          <c:spPr>
            <a:gradFill>
              <a:gsLst>
                <a:gs pos="100000">
                  <a:schemeClr val="accent4">
                    <a:lumMod val="60000"/>
                    <a:lumMod val="60000"/>
                    <a:lumOff val="40000"/>
                  </a:schemeClr>
                </a:gs>
                <a:gs pos="0">
                  <a:schemeClr val="accent4">
                    <a:lumMod val="60000"/>
                  </a:schemeClr>
                </a:gs>
              </a:gsLst>
              <a:lin ang="5400000" scaled="0"/>
            </a:gradFill>
            <a:ln w="19050">
              <a:solidFill>
                <a:schemeClr val="lt1"/>
              </a:solidFill>
            </a:ln>
            <a:effectLst/>
          </c:spPr>
          <c:invertIfNegative val="0"/>
          <c:val>
            <c:numRef>
              <c:f>'Modèles Michel Mariette'!$F$22</c:f>
              <c:numCache>
                <c:formatCode>#\ ##0.000" kg"</c:formatCode>
                <c:ptCount val="1"/>
                <c:pt idx="0">
                  <c:v>4.7675804529201428E-3</c:v>
                </c:pt>
              </c:numCache>
            </c:numRef>
          </c:val>
        </c:ser>
        <c:dLbls>
          <c:showLegendKey val="0"/>
          <c:showVal val="0"/>
          <c:showCatName val="0"/>
          <c:showSerName val="0"/>
          <c:showPercent val="0"/>
          <c:showBubbleSize val="0"/>
        </c:dLbls>
        <c:gapWidth val="150"/>
        <c:axId val="533394416"/>
        <c:axId val="533403376"/>
      </c:barChart>
      <c:catAx>
        <c:axId val="533394416"/>
        <c:scaling>
          <c:orientation val="minMax"/>
        </c:scaling>
        <c:delete val="0"/>
        <c:axPos val="b"/>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r-FR"/>
          </a:p>
        </c:txPr>
        <c:crossAx val="533403376"/>
        <c:crosses val="autoZero"/>
        <c:auto val="1"/>
        <c:lblAlgn val="ctr"/>
        <c:lblOffset val="100"/>
        <c:noMultiLvlLbl val="0"/>
      </c:catAx>
      <c:valAx>
        <c:axId val="533403376"/>
        <c:scaling>
          <c:orientation val="minMax"/>
        </c:scaling>
        <c:delete val="1"/>
        <c:axPos val="l"/>
        <c:majorGridlines>
          <c:spPr>
            <a:ln w="9525" cap="flat" cmpd="sng" algn="ctr">
              <a:solidFill>
                <a:schemeClr val="dk1">
                  <a:lumMod val="15000"/>
                  <a:lumOff val="85000"/>
                </a:schemeClr>
              </a:solidFill>
              <a:round/>
            </a:ln>
            <a:effectLst/>
          </c:spPr>
        </c:majorGridlines>
        <c:numFmt formatCode="#\ ##0.000&quot; kg&quot;" sourceLinked="1"/>
        <c:majorTickMark val="out"/>
        <c:minorTickMark val="none"/>
        <c:tickLblPos val="nextTo"/>
        <c:crossAx val="533394416"/>
        <c:crosses val="autoZero"/>
        <c:crossBetween val="between"/>
      </c:valAx>
      <c:spPr>
        <a:noFill/>
        <a:ln>
          <a:noFill/>
        </a:ln>
        <a:effectLst/>
      </c:spPr>
    </c:plotArea>
    <c:legend>
      <c:legendPos val="r"/>
      <c:legendEntry>
        <c:idx val="10"/>
        <c:delete val="1"/>
      </c:legendEntry>
      <c:legendEntry>
        <c:idx val="11"/>
        <c:delete val="1"/>
      </c:legendEntry>
      <c:legendEntry>
        <c:idx val="12"/>
        <c:delete val="1"/>
      </c:legendEntry>
      <c:legendEntry>
        <c:idx val="13"/>
        <c:delete val="1"/>
      </c:legendEntry>
      <c:layout>
        <c:manualLayout>
          <c:xMode val="edge"/>
          <c:yMode val="edge"/>
          <c:x val="0.67608725032259753"/>
          <c:y val="0.13526054942095922"/>
          <c:w val="0.31607537701156663"/>
          <c:h val="0.81659761866397629"/>
        </c:manualLayout>
      </c:layout>
      <c:overlay val="0"/>
      <c:spPr>
        <a:solidFill>
          <a:schemeClr val="lt1">
            <a:alpha val="50000"/>
          </a:schemeClr>
        </a:solidFill>
        <a:ln>
          <a:noFill/>
        </a:ln>
        <a:effectLst/>
      </c:spPr>
      <c:txPr>
        <a:bodyPr rot="0" spcFirstLastPara="1" vertOverflow="ellipsis" vert="horz" wrap="square" anchor="ctr" anchorCtr="1"/>
        <a:lstStyle/>
        <a:p>
          <a:pPr>
            <a:defRPr sz="1400" b="0" i="0" u="none" strike="noStrike" kern="1200" baseline="0">
              <a:solidFill>
                <a:schemeClr val="dk1">
                  <a:lumMod val="65000"/>
                  <a:lumOff val="35000"/>
                </a:schemeClr>
              </a:solidFill>
              <a:latin typeface="+mn-lt"/>
              <a:ea typeface="+mn-ea"/>
              <a:cs typeface="+mn-cs"/>
            </a:defRPr>
          </a:pPr>
          <a:endParaRPr lang="fr-FR"/>
        </a:p>
      </c:txPr>
    </c:legend>
    <c:plotVisOnly val="1"/>
    <c:dispBlanksAs val="gap"/>
    <c:showDLblsOverMax val="0"/>
  </c:chart>
  <c:spPr>
    <a:pattFill prst="dkDnDiag">
      <a:fgClr>
        <a:schemeClr val="lt1"/>
      </a:fgClr>
      <a:bgClr>
        <a:schemeClr val="dk1">
          <a:lumMod val="10000"/>
          <a:lumOff val="90000"/>
        </a:schemeClr>
      </a:bgClr>
    </a:pattFill>
    <a:ln w="9525" cap="flat" cmpd="sng" algn="ctr">
      <a:solidFill>
        <a:schemeClr val="dk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1">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7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t>
        <a:bodyPr/>
        <a:lstStyle/>
        <a:p>
          <a:endParaRPr lang="fr-FR"/>
        </a:p>
      </dgm:t>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t>
        <a:bodyPr/>
        <a:lstStyle/>
        <a:p>
          <a:endParaRPr lang="fr-FR"/>
        </a:p>
      </dgm:t>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t>
        <a:bodyPr/>
        <a:lstStyle/>
        <a:p>
          <a:endParaRPr lang="fr-FR"/>
        </a:p>
      </dgm:t>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60E47DC-E8AE-4906-B6D7-E528EC78DD8E}" srcId="{214CB41C-7DC8-46A2-AD35-11B815DA581B}" destId="{2DFB2CD0-6288-49B7-9A82-33943972DFBD}" srcOrd="1" destOrd="0" parTransId="{5AA3C0EA-9D6F-4303-8878-84FF02FFA866}" sibTransId="{CE9F76BE-ABDA-4D02-B8E7-628DB792F2AD}"/>
    <dgm:cxn modelId="{6B9E34A1-A29E-4881-BC0A-3DC8E0FD2E88}" type="presOf" srcId="{214CB41C-7DC8-46A2-AD35-11B815DA581B}" destId="{9D7DD4FB-464F-4BC0-AEC6-9816758D0E6D}" srcOrd="0" destOrd="0" presId="urn:microsoft.com/office/officeart/2005/8/layout/target1"/>
    <dgm:cxn modelId="{BAAA2018-1343-4473-9D21-E930932679E9}" type="presOf" srcId="{25EA7D6E-99F1-4462-B118-CD7F631F49DB}" destId="{E9A320C5-9217-4BD7-9125-9DF9912C1300}" srcOrd="0" destOrd="0" presId="urn:microsoft.com/office/officeart/2005/8/layout/target1"/>
    <dgm:cxn modelId="{91F83835-9289-4A8D-B252-AE78D844F29D}" type="presOf" srcId="{39FAD670-BEE5-4DEC-810E-735C4DC1D039}" destId="{14F73FC4-6E68-476D-9180-080210AE3637}" srcOrd="0" destOrd="0" presId="urn:microsoft.com/office/officeart/2005/8/layout/target1"/>
    <dgm:cxn modelId="{FC08012A-7585-441C-838B-9C8192D5CD01}" type="presOf" srcId="{2DFB2CD0-6288-49B7-9A82-33943972DFBD}" destId="{ED7C3A72-918F-4DBA-8C27-EBF5DF84000B}"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5C706EF4-AFD2-4C44-BD03-3F7A7322A399}" srcId="{214CB41C-7DC8-46A2-AD35-11B815DA581B}" destId="{25EA7D6E-99F1-4462-B118-CD7F631F49DB}" srcOrd="0" destOrd="0" parTransId="{C54227E8-A1AC-4B33-A6D7-03C8C22EC5E9}" sibTransId="{8951920F-9618-44FC-94BD-50DA86F9EC65}"/>
    <dgm:cxn modelId="{5405E420-3D8B-400C-9166-31654B0B86E2}" type="presParOf" srcId="{9D7DD4FB-464F-4BC0-AEC6-9816758D0E6D}" destId="{9F6578EC-0EA8-494C-ABE2-36BAEE9A18C4}" srcOrd="0" destOrd="0" presId="urn:microsoft.com/office/officeart/2005/8/layout/target1"/>
    <dgm:cxn modelId="{15843E47-62D6-42FB-B61B-E9661FA4103B}" type="presParOf" srcId="{9D7DD4FB-464F-4BC0-AEC6-9816758D0E6D}" destId="{E9A320C5-9217-4BD7-9125-9DF9912C1300}" srcOrd="1" destOrd="0" presId="urn:microsoft.com/office/officeart/2005/8/layout/target1"/>
    <dgm:cxn modelId="{F1F06408-ACED-49A9-B403-3906CB7E74EE}" type="presParOf" srcId="{9D7DD4FB-464F-4BC0-AEC6-9816758D0E6D}" destId="{F0071ECC-22C7-4606-A1DC-EECA13F7ED1C}" srcOrd="2" destOrd="0" presId="urn:microsoft.com/office/officeart/2005/8/layout/target1"/>
    <dgm:cxn modelId="{07ED5EC4-7C2B-4428-A13A-1848FA264D7B}" type="presParOf" srcId="{9D7DD4FB-464F-4BC0-AEC6-9816758D0E6D}" destId="{3DD5EF9D-7C8B-46F9-9947-1A2E8E3674C2}" srcOrd="3" destOrd="0" presId="urn:microsoft.com/office/officeart/2005/8/layout/target1"/>
    <dgm:cxn modelId="{DF2C3277-1FBA-4A6C-B611-195D2A1FA2A0}" type="presParOf" srcId="{9D7DD4FB-464F-4BC0-AEC6-9816758D0E6D}" destId="{D1190DAD-5841-4615-998E-900BFF221814}" srcOrd="4" destOrd="0" presId="urn:microsoft.com/office/officeart/2005/8/layout/target1"/>
    <dgm:cxn modelId="{6202992F-9AC2-4FE4-8629-10F579FFAE11}" type="presParOf" srcId="{9D7DD4FB-464F-4BC0-AEC6-9816758D0E6D}" destId="{ED7C3A72-918F-4DBA-8C27-EBF5DF84000B}" srcOrd="5" destOrd="0" presId="urn:microsoft.com/office/officeart/2005/8/layout/target1"/>
    <dgm:cxn modelId="{E271C101-F171-4D13-8684-1DB2943CC90E}" type="presParOf" srcId="{9D7DD4FB-464F-4BC0-AEC6-9816758D0E6D}" destId="{A4D86D11-9E63-437A-A30B-93AF2E24557B}" srcOrd="6" destOrd="0" presId="urn:microsoft.com/office/officeart/2005/8/layout/target1"/>
    <dgm:cxn modelId="{61A19CF0-2EC2-4BE7-8747-702DF8C182E9}" type="presParOf" srcId="{9D7DD4FB-464F-4BC0-AEC6-9816758D0E6D}" destId="{A6F30462-8FBB-4858-BB15-629689765207}" srcOrd="7" destOrd="0" presId="urn:microsoft.com/office/officeart/2005/8/layout/target1"/>
    <dgm:cxn modelId="{9A14BAB0-BB23-4982-9CF7-AE0E5D769589}" type="presParOf" srcId="{9D7DD4FB-464F-4BC0-AEC6-9816758D0E6D}" destId="{BE22EF5A-D512-4CCB-9ACA-0274A5AFAA68}" srcOrd="8" destOrd="0" presId="urn:microsoft.com/office/officeart/2005/8/layout/target1"/>
    <dgm:cxn modelId="{FC2A3279-BA9D-4F35-95D6-4E22CE6AD6BC}" type="presParOf" srcId="{9D7DD4FB-464F-4BC0-AEC6-9816758D0E6D}" destId="{14F73FC4-6E68-476D-9180-080210AE3637}" srcOrd="9" destOrd="0" presId="urn:microsoft.com/office/officeart/2005/8/layout/target1"/>
    <dgm:cxn modelId="{D4F9D334-474B-49DD-9BB0-2BBA698C9335}" type="presParOf" srcId="{9D7DD4FB-464F-4BC0-AEC6-9816758D0E6D}" destId="{D78CABE5-3F06-4918-8B9F-95537A2E4443}" srcOrd="10" destOrd="0" presId="urn:microsoft.com/office/officeart/2005/8/layout/target1"/>
    <dgm:cxn modelId="{47B36C34-B165-4FE0-8C27-ABD10A47139B}"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lvl="0" algn="l" defTabSz="755650">
            <a:lnSpc>
              <a:spcPct val="90000"/>
            </a:lnSpc>
            <a:spcBef>
              <a:spcPct val="0"/>
            </a:spcBef>
            <a:spcAft>
              <a:spcPct val="35000"/>
            </a:spcAft>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lvl="0" algn="l" defTabSz="755650">
            <a:lnSpc>
              <a:spcPct val="90000"/>
            </a:lnSpc>
            <a:spcBef>
              <a:spcPct val="0"/>
            </a:spcBef>
            <a:spcAft>
              <a:spcPct val="35000"/>
            </a:spcAft>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lvl="0" algn="l" defTabSz="755650">
            <a:lnSpc>
              <a:spcPct val="90000"/>
            </a:lnSpc>
            <a:spcBef>
              <a:spcPct val="0"/>
            </a:spcBef>
            <a:spcAft>
              <a:spcPct val="35000"/>
            </a:spcAft>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12700" cap="flat" cmpd="sng" algn="ctr">
          <a:solidFill>
            <a:schemeClr val="accent2">
              <a:tint val="50000"/>
              <a:hueOff val="0"/>
              <a:satOff val="0"/>
              <a:lumOff val="0"/>
              <a:alphaOff val="0"/>
            </a:schemeClr>
          </a:solidFill>
          <a:prstDash val="solid"/>
          <a:miter lim="800000"/>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image" Target="../media/image26.png"/><Relationship Id="rId18" Type="http://schemas.openxmlformats.org/officeDocument/2006/relationships/image" Target="../media/image31.png"/><Relationship Id="rId26" Type="http://schemas.openxmlformats.org/officeDocument/2006/relationships/image" Target="../media/image34.png"/><Relationship Id="rId3" Type="http://schemas.openxmlformats.org/officeDocument/2006/relationships/image" Target="../media/image16.png"/><Relationship Id="rId21" Type="http://schemas.openxmlformats.org/officeDocument/2006/relationships/diagramQuickStyle" Target="../diagrams/quickStyle1.xml"/><Relationship Id="rId7" Type="http://schemas.openxmlformats.org/officeDocument/2006/relationships/image" Target="../media/image20.png"/><Relationship Id="rId12" Type="http://schemas.openxmlformats.org/officeDocument/2006/relationships/image" Target="../media/image25.png"/><Relationship Id="rId17" Type="http://schemas.openxmlformats.org/officeDocument/2006/relationships/image" Target="../media/image30.png"/><Relationship Id="rId25" Type="http://schemas.openxmlformats.org/officeDocument/2006/relationships/image" Target="../media/image33.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diagramLayout" Target="../diagrams/layout1.xml"/><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24" Type="http://schemas.openxmlformats.org/officeDocument/2006/relationships/image" Target="../media/image32.png"/><Relationship Id="rId5" Type="http://schemas.openxmlformats.org/officeDocument/2006/relationships/image" Target="../media/image18.png"/><Relationship Id="rId15" Type="http://schemas.openxmlformats.org/officeDocument/2006/relationships/image" Target="../media/image28.png"/><Relationship Id="rId23" Type="http://schemas.microsoft.com/office/2007/relationships/diagramDrawing" Target="../diagrams/drawing1.xml"/><Relationship Id="rId28" Type="http://schemas.openxmlformats.org/officeDocument/2006/relationships/image" Target="../media/image36.png"/><Relationship Id="rId10" Type="http://schemas.openxmlformats.org/officeDocument/2006/relationships/image" Target="../media/image23.png"/><Relationship Id="rId19" Type="http://schemas.openxmlformats.org/officeDocument/2006/relationships/diagramData" Target="../diagrams/data1.xml"/><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 Id="rId22" Type="http://schemas.openxmlformats.org/officeDocument/2006/relationships/diagramColors" Target="../diagrams/colors1.xml"/><Relationship Id="rId27"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9" Type="http://schemas.openxmlformats.org/officeDocument/2006/relationships/image" Target="../media/image3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9.png"/><Relationship Id="rId7" Type="http://schemas.openxmlformats.org/officeDocument/2006/relationships/image" Target="../media/image41.png"/><Relationship Id="rId2" Type="http://schemas.openxmlformats.org/officeDocument/2006/relationships/image" Target="../media/image38.png"/><Relationship Id="rId1" Type="http://schemas.openxmlformats.org/officeDocument/2006/relationships/image" Target="../media/image37.png"/><Relationship Id="rId6" Type="http://schemas.openxmlformats.org/officeDocument/2006/relationships/image" Target="../media/image2.png"/><Relationship Id="rId5" Type="http://schemas.openxmlformats.org/officeDocument/2006/relationships/image" Target="../media/image1.png"/><Relationship Id="rId4"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13.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21</xdr:col>
      <xdr:colOff>1981200</xdr:colOff>
      <xdr:row>67</xdr:row>
      <xdr:rowOff>57150</xdr:rowOff>
    </xdr:from>
    <xdr:to>
      <xdr:col>22</xdr:col>
      <xdr:colOff>495658</xdr:colOff>
      <xdr:row>68</xdr:row>
      <xdr:rowOff>66703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60125" y="15316200"/>
          <a:ext cx="2562583" cy="200053"/>
        </a:xfrm>
        <a:prstGeom prst="rect">
          <a:avLst/>
        </a:prstGeom>
      </xdr:spPr>
    </xdr:pic>
    <xdr:clientData/>
  </xdr:twoCellAnchor>
  <xdr:twoCellAnchor editAs="oneCell">
    <xdr:from>
      <xdr:col>21</xdr:col>
      <xdr:colOff>2466975</xdr:colOff>
      <xdr:row>68</xdr:row>
      <xdr:rowOff>57150</xdr:rowOff>
    </xdr:from>
    <xdr:to>
      <xdr:col>21</xdr:col>
      <xdr:colOff>3924503</xdr:colOff>
      <xdr:row>71</xdr:row>
      <xdr:rowOff>142967</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345900" y="15506700"/>
          <a:ext cx="1457528" cy="657317"/>
        </a:xfrm>
        <a:prstGeom prst="rect">
          <a:avLst/>
        </a:prstGeom>
      </xdr:spPr>
    </xdr:pic>
    <xdr:clientData/>
  </xdr:twoCellAnchor>
  <xdr:twoCellAnchor editAs="oneCell">
    <xdr:from>
      <xdr:col>5</xdr:col>
      <xdr:colOff>623129</xdr:colOff>
      <xdr:row>3</xdr:row>
      <xdr:rowOff>79376</xdr:rowOff>
    </xdr:from>
    <xdr:to>
      <xdr:col>6</xdr:col>
      <xdr:colOff>3250894</xdr:colOff>
      <xdr:row>3</xdr:row>
      <xdr:rowOff>1683114</xdr:rowOff>
    </xdr:to>
    <xdr:pic>
      <xdr:nvPicPr>
        <xdr:cNvPr id="6" name="Image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87694" y="1503985"/>
          <a:ext cx="3745917" cy="1603738"/>
        </a:xfrm>
        <a:prstGeom prst="rect">
          <a:avLst/>
        </a:prstGeom>
      </xdr:spPr>
    </xdr:pic>
    <xdr:clientData/>
  </xdr:twoCellAnchor>
  <xdr:twoCellAnchor editAs="oneCell">
    <xdr:from>
      <xdr:col>2</xdr:col>
      <xdr:colOff>215348</xdr:colOff>
      <xdr:row>3</xdr:row>
      <xdr:rowOff>115958</xdr:rowOff>
    </xdr:from>
    <xdr:to>
      <xdr:col>4</xdr:col>
      <xdr:colOff>397565</xdr:colOff>
      <xdr:row>3</xdr:row>
      <xdr:rowOff>1524440</xdr:rowOff>
    </xdr:to>
    <xdr:pic>
      <xdr:nvPicPr>
        <xdr:cNvPr id="10" name="Image 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27652" y="1540567"/>
          <a:ext cx="2045804" cy="14084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424815</xdr:colOff>
      <xdr:row>25</xdr:row>
      <xdr:rowOff>152400</xdr:rowOff>
    </xdr:from>
    <xdr:to>
      <xdr:col>6</xdr:col>
      <xdr:colOff>409575</xdr:colOff>
      <xdr:row>30</xdr:row>
      <xdr:rowOff>53340</xdr:rowOff>
    </xdr:to>
    <xdr:sp macro="" textlink="">
      <xdr:nvSpPr>
        <xdr:cNvPr id="2" name="AutoShape 1"/>
        <xdr:cNvSpPr>
          <a:spLocks noChangeArrowheads="1"/>
        </xdr:cNvSpPr>
      </xdr:nvSpPr>
      <xdr:spPr bwMode="auto">
        <a:xfrm>
          <a:off x="5330190" y="4972050"/>
          <a:ext cx="3385185" cy="85344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3</xdr:col>
      <xdr:colOff>514350</xdr:colOff>
      <xdr:row>25</xdr:row>
      <xdr:rowOff>95250</xdr:rowOff>
    </xdr:from>
    <xdr:to>
      <xdr:col>6</xdr:col>
      <xdr:colOff>304800</xdr:colOff>
      <xdr:row>25</xdr:row>
      <xdr:rowOff>95250</xdr:rowOff>
    </xdr:to>
    <xdr:sp macro="" textlink="">
      <xdr:nvSpPr>
        <xdr:cNvPr id="3" name="Line 2"/>
        <xdr:cNvSpPr>
          <a:spLocks noChangeShapeType="1"/>
        </xdr:cNvSpPr>
      </xdr:nvSpPr>
      <xdr:spPr bwMode="auto">
        <a:xfrm>
          <a:off x="5419725" y="4914900"/>
          <a:ext cx="31908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95250</xdr:rowOff>
    </xdr:from>
    <xdr:to>
      <xdr:col>6</xdr:col>
      <xdr:colOff>95250</xdr:colOff>
      <xdr:row>25</xdr:row>
      <xdr:rowOff>104775</xdr:rowOff>
    </xdr:to>
    <xdr:sp macro="" textlink="">
      <xdr:nvSpPr>
        <xdr:cNvPr id="4" name="Line 3"/>
        <xdr:cNvSpPr>
          <a:spLocks noChangeShapeType="1"/>
        </xdr:cNvSpPr>
      </xdr:nvSpPr>
      <xdr:spPr bwMode="auto">
        <a:xfrm flipV="1">
          <a:off x="7391400" y="4533900"/>
          <a:ext cx="1009650" cy="3905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245745</xdr:colOff>
      <xdr:row>1</xdr:row>
      <xdr:rowOff>53340</xdr:rowOff>
    </xdr:from>
    <xdr:to>
      <xdr:col>6</xdr:col>
      <xdr:colOff>1057335</xdr:colOff>
      <xdr:row>3</xdr:row>
      <xdr:rowOff>114300</xdr:rowOff>
    </xdr:to>
    <xdr:sp macro="" textlink="">
      <xdr:nvSpPr>
        <xdr:cNvPr id="5" name="Bulle ronde 4"/>
        <xdr:cNvSpPr/>
      </xdr:nvSpPr>
      <xdr:spPr bwMode="auto">
        <a:xfrm>
          <a:off x="7475220" y="300990"/>
          <a:ext cx="1887915" cy="441960"/>
        </a:xfrm>
        <a:prstGeom prst="wedgeEllipseCallout">
          <a:avLst>
            <a:gd name="adj1" fmla="val -79275"/>
            <a:gd name="adj2" fmla="val 49167"/>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424815</xdr:colOff>
      <xdr:row>25</xdr:row>
      <xdr:rowOff>152400</xdr:rowOff>
    </xdr:from>
    <xdr:to>
      <xdr:col>6</xdr:col>
      <xdr:colOff>409575</xdr:colOff>
      <xdr:row>30</xdr:row>
      <xdr:rowOff>53340</xdr:rowOff>
    </xdr:to>
    <xdr:sp macro="" textlink="">
      <xdr:nvSpPr>
        <xdr:cNvPr id="2" name="AutoShape 1"/>
        <xdr:cNvSpPr>
          <a:spLocks noChangeArrowheads="1"/>
        </xdr:cNvSpPr>
      </xdr:nvSpPr>
      <xdr:spPr bwMode="auto">
        <a:xfrm>
          <a:off x="5120640" y="5648325"/>
          <a:ext cx="347091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3</xdr:col>
      <xdr:colOff>600075</xdr:colOff>
      <xdr:row>25</xdr:row>
      <xdr:rowOff>123825</xdr:rowOff>
    </xdr:from>
    <xdr:to>
      <xdr:col>6</xdr:col>
      <xdr:colOff>381000</xdr:colOff>
      <xdr:row>25</xdr:row>
      <xdr:rowOff>123825</xdr:rowOff>
    </xdr:to>
    <xdr:sp macro="" textlink="">
      <xdr:nvSpPr>
        <xdr:cNvPr id="3" name="Line 2"/>
        <xdr:cNvSpPr>
          <a:spLocks noChangeShapeType="1"/>
        </xdr:cNvSpPr>
      </xdr:nvSpPr>
      <xdr:spPr bwMode="auto">
        <a:xfrm>
          <a:off x="5295900" y="5619750"/>
          <a:ext cx="32670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24</xdr:row>
      <xdr:rowOff>142875</xdr:rowOff>
    </xdr:from>
    <xdr:to>
      <xdr:col>6</xdr:col>
      <xdr:colOff>57150</xdr:colOff>
      <xdr:row>25</xdr:row>
      <xdr:rowOff>161925</xdr:rowOff>
    </xdr:to>
    <xdr:sp macro="" textlink="">
      <xdr:nvSpPr>
        <xdr:cNvPr id="4" name="Line 3"/>
        <xdr:cNvSpPr>
          <a:spLocks noChangeShapeType="1"/>
        </xdr:cNvSpPr>
      </xdr:nvSpPr>
      <xdr:spPr bwMode="auto">
        <a:xfrm flipV="1">
          <a:off x="7019925" y="5419725"/>
          <a:ext cx="1219200" cy="2381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541020</xdr:colOff>
      <xdr:row>1</xdr:row>
      <xdr:rowOff>137160</xdr:rowOff>
    </xdr:from>
    <xdr:to>
      <xdr:col>7</xdr:col>
      <xdr:colOff>131445</xdr:colOff>
      <xdr:row>3</xdr:row>
      <xdr:rowOff>198120</xdr:rowOff>
    </xdr:to>
    <xdr:sp macro="" textlink="">
      <xdr:nvSpPr>
        <xdr:cNvPr id="5" name="Bulle ronde 4"/>
        <xdr:cNvSpPr/>
      </xdr:nvSpPr>
      <xdr:spPr bwMode="auto">
        <a:xfrm>
          <a:off x="7560945" y="375285"/>
          <a:ext cx="1914525" cy="499110"/>
        </a:xfrm>
        <a:prstGeom prst="wedgeEllipseCallout">
          <a:avLst>
            <a:gd name="adj1" fmla="val -84551"/>
            <a:gd name="adj2" fmla="val 3316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415290</xdr:colOff>
      <xdr:row>25</xdr:row>
      <xdr:rowOff>152400</xdr:rowOff>
    </xdr:from>
    <xdr:to>
      <xdr:col>6</xdr:col>
      <xdr:colOff>409585</xdr:colOff>
      <xdr:row>30</xdr:row>
      <xdr:rowOff>53340</xdr:rowOff>
    </xdr:to>
    <xdr:sp macro="" textlink="">
      <xdr:nvSpPr>
        <xdr:cNvPr id="2" name="AutoShape 1"/>
        <xdr:cNvSpPr>
          <a:spLocks noChangeArrowheads="1"/>
        </xdr:cNvSpPr>
      </xdr:nvSpPr>
      <xdr:spPr bwMode="auto">
        <a:xfrm>
          <a:off x="5177790" y="5657850"/>
          <a:ext cx="350902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3</xdr:col>
      <xdr:colOff>542925</xdr:colOff>
      <xdr:row>25</xdr:row>
      <xdr:rowOff>114300</xdr:rowOff>
    </xdr:from>
    <xdr:to>
      <xdr:col>6</xdr:col>
      <xdr:colOff>333375</xdr:colOff>
      <xdr:row>25</xdr:row>
      <xdr:rowOff>114300</xdr:rowOff>
    </xdr:to>
    <xdr:sp macro="" textlink="">
      <xdr:nvSpPr>
        <xdr:cNvPr id="3" name="Line 3"/>
        <xdr:cNvSpPr>
          <a:spLocks noChangeShapeType="1"/>
        </xdr:cNvSpPr>
      </xdr:nvSpPr>
      <xdr:spPr bwMode="auto">
        <a:xfrm>
          <a:off x="5305425" y="5619750"/>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38100</xdr:colOff>
      <xdr:row>23</xdr:row>
      <xdr:rowOff>38100</xdr:rowOff>
    </xdr:from>
    <xdr:to>
      <xdr:col>5</xdr:col>
      <xdr:colOff>847725</xdr:colOff>
      <xdr:row>25</xdr:row>
      <xdr:rowOff>123825</xdr:rowOff>
    </xdr:to>
    <xdr:sp macro="" textlink="">
      <xdr:nvSpPr>
        <xdr:cNvPr id="4" name="Line 4"/>
        <xdr:cNvSpPr>
          <a:spLocks noChangeShapeType="1"/>
        </xdr:cNvSpPr>
      </xdr:nvSpPr>
      <xdr:spPr bwMode="auto">
        <a:xfrm flipV="1">
          <a:off x="7143750" y="5105400"/>
          <a:ext cx="809625" cy="5238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177165</xdr:colOff>
      <xdr:row>1</xdr:row>
      <xdr:rowOff>53340</xdr:rowOff>
    </xdr:from>
    <xdr:to>
      <xdr:col>6</xdr:col>
      <xdr:colOff>741088</xdr:colOff>
      <xdr:row>3</xdr:row>
      <xdr:rowOff>124968</xdr:rowOff>
    </xdr:to>
    <xdr:sp macro="" textlink="">
      <xdr:nvSpPr>
        <xdr:cNvPr id="5" name="Bulle ronde 4"/>
        <xdr:cNvSpPr/>
      </xdr:nvSpPr>
      <xdr:spPr bwMode="auto">
        <a:xfrm>
          <a:off x="7282815" y="300990"/>
          <a:ext cx="1735498" cy="509778"/>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424815</xdr:colOff>
      <xdr:row>26</xdr:row>
      <xdr:rowOff>152400</xdr:rowOff>
    </xdr:from>
    <xdr:to>
      <xdr:col>6</xdr:col>
      <xdr:colOff>409575</xdr:colOff>
      <xdr:row>31</xdr:row>
      <xdr:rowOff>53340</xdr:rowOff>
    </xdr:to>
    <xdr:sp macro="" textlink="">
      <xdr:nvSpPr>
        <xdr:cNvPr id="2" name="AutoShape 1"/>
        <xdr:cNvSpPr>
          <a:spLocks noChangeArrowheads="1"/>
        </xdr:cNvSpPr>
      </xdr:nvSpPr>
      <xdr:spPr bwMode="auto">
        <a:xfrm>
          <a:off x="5406390" y="5867400"/>
          <a:ext cx="352806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1400" b="0" i="0" u="none" strike="noStrike" baseline="0">
              <a:solidFill>
                <a:srgbClr val="FF0000"/>
              </a:solidFill>
              <a:latin typeface="Times New Roman"/>
              <a:cs typeface="Times New Roman"/>
            </a:rPr>
            <a:t>eau de cuisson à 82°c</a:t>
          </a:r>
        </a:p>
      </xdr:txBody>
    </xdr:sp>
    <xdr:clientData/>
  </xdr:twoCellAnchor>
  <xdr:twoCellAnchor>
    <xdr:from>
      <xdr:col>3</xdr:col>
      <xdr:colOff>495300</xdr:colOff>
      <xdr:row>26</xdr:row>
      <xdr:rowOff>123825</xdr:rowOff>
    </xdr:from>
    <xdr:to>
      <xdr:col>6</xdr:col>
      <xdr:colOff>285750</xdr:colOff>
      <xdr:row>26</xdr:row>
      <xdr:rowOff>123825</xdr:rowOff>
    </xdr:to>
    <xdr:sp macro="" textlink="">
      <xdr:nvSpPr>
        <xdr:cNvPr id="3" name="Line 2"/>
        <xdr:cNvSpPr>
          <a:spLocks noChangeShapeType="1"/>
        </xdr:cNvSpPr>
      </xdr:nvSpPr>
      <xdr:spPr bwMode="auto">
        <a:xfrm>
          <a:off x="5476875" y="5838825"/>
          <a:ext cx="333375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342899</xdr:colOff>
      <xdr:row>25</xdr:row>
      <xdr:rowOff>114299</xdr:rowOff>
    </xdr:from>
    <xdr:to>
      <xdr:col>6</xdr:col>
      <xdr:colOff>28574</xdr:colOff>
      <xdr:row>26</xdr:row>
      <xdr:rowOff>133349</xdr:rowOff>
    </xdr:to>
    <xdr:sp macro="" textlink="">
      <xdr:nvSpPr>
        <xdr:cNvPr id="4" name="Line 3"/>
        <xdr:cNvSpPr>
          <a:spLocks noChangeShapeType="1"/>
        </xdr:cNvSpPr>
      </xdr:nvSpPr>
      <xdr:spPr bwMode="auto">
        <a:xfrm flipV="1">
          <a:off x="7762874" y="5610224"/>
          <a:ext cx="790575" cy="23812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300990</xdr:colOff>
      <xdr:row>0</xdr:row>
      <xdr:rowOff>236220</xdr:rowOff>
    </xdr:from>
    <xdr:to>
      <xdr:col>7</xdr:col>
      <xdr:colOff>539115</xdr:colOff>
      <xdr:row>3</xdr:row>
      <xdr:rowOff>76200</xdr:rowOff>
    </xdr:to>
    <xdr:sp macro="" textlink="">
      <xdr:nvSpPr>
        <xdr:cNvPr id="5" name="Bulle ronde 4"/>
        <xdr:cNvSpPr/>
      </xdr:nvSpPr>
      <xdr:spPr bwMode="auto">
        <a:xfrm>
          <a:off x="7720965" y="236220"/>
          <a:ext cx="2447925" cy="516255"/>
        </a:xfrm>
        <a:prstGeom prst="wedgeEllipseCallout">
          <a:avLst>
            <a:gd name="adj1" fmla="val -81603"/>
            <a:gd name="adj2" fmla="val 51826"/>
          </a:avLst>
        </a:prstGeom>
        <a:ln>
          <a:headEnd type="none" w="med" len="med"/>
          <a:tailEnd type="none" w="med" len="med"/>
        </a:ln>
      </xdr:spPr>
      <xdr:style>
        <a:lnRef idx="2">
          <a:schemeClr val="accent3"/>
        </a:lnRef>
        <a:fillRef idx="1">
          <a:schemeClr val="lt1"/>
        </a:fillRef>
        <a:effectRef idx="0">
          <a:schemeClr val="accent3"/>
        </a:effectRef>
        <a:fontRef idx="minor">
          <a:schemeClr val="dk1"/>
        </a:fontRef>
      </xdr:style>
      <xdr:txBody>
        <a:bodyPr vertOverflow="clip" wrap="square" lIns="18288" tIns="0" rIns="0" bIns="0" rtlCol="0" anchor="ctr" upright="1"/>
        <a:lstStyle/>
        <a:p>
          <a:pPr algn="ctr"/>
          <a:r>
            <a:rPr lang="fr-FR" sz="1100"/>
            <a:t>Mettre le poids de fabrication</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1981200</xdr:colOff>
      <xdr:row>58</xdr:row>
      <xdr:rowOff>57150</xdr:rowOff>
    </xdr:from>
    <xdr:to>
      <xdr:col>22</xdr:col>
      <xdr:colOff>495658</xdr:colOff>
      <xdr:row>59</xdr:row>
      <xdr:rowOff>66703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60125" y="15316200"/>
          <a:ext cx="2562583" cy="200053"/>
        </a:xfrm>
        <a:prstGeom prst="rect">
          <a:avLst/>
        </a:prstGeom>
      </xdr:spPr>
    </xdr:pic>
    <xdr:clientData/>
  </xdr:twoCellAnchor>
  <xdr:twoCellAnchor editAs="oneCell">
    <xdr:from>
      <xdr:col>21</xdr:col>
      <xdr:colOff>2466975</xdr:colOff>
      <xdr:row>59</xdr:row>
      <xdr:rowOff>57150</xdr:rowOff>
    </xdr:from>
    <xdr:to>
      <xdr:col>21</xdr:col>
      <xdr:colOff>3924503</xdr:colOff>
      <xdr:row>62</xdr:row>
      <xdr:rowOff>142967</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345900" y="15506700"/>
          <a:ext cx="1457528" cy="65731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390525</xdr:colOff>
      <xdr:row>423</xdr:row>
      <xdr:rowOff>114300</xdr:rowOff>
    </xdr:from>
    <xdr:to>
      <xdr:col>4</xdr:col>
      <xdr:colOff>723900</xdr:colOff>
      <xdr:row>432</xdr:row>
      <xdr:rowOff>161925</xdr:rowOff>
    </xdr:to>
    <xdr:pic>
      <xdr:nvPicPr>
        <xdr:cNvPr id="2" name="Picture 3" descr="http://www.educastream.com/IMG/Image/volumes21a.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6701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851</xdr:row>
      <xdr:rowOff>95250</xdr:rowOff>
    </xdr:from>
    <xdr:to>
      <xdr:col>2</xdr:col>
      <xdr:colOff>171450</xdr:colOff>
      <xdr:row>859</xdr:row>
      <xdr:rowOff>34391</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9289077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864</xdr:row>
      <xdr:rowOff>66675</xdr:rowOff>
    </xdr:from>
    <xdr:to>
      <xdr:col>2</xdr:col>
      <xdr:colOff>666750</xdr:colOff>
      <xdr:row>867</xdr:row>
      <xdr:rowOff>0</xdr:rowOff>
    </xdr:to>
    <xdr:pic>
      <xdr:nvPicPr>
        <xdr:cNvPr id="4" name="Image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6081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871</xdr:row>
      <xdr:rowOff>28575</xdr:rowOff>
    </xdr:from>
    <xdr:to>
      <xdr:col>2</xdr:col>
      <xdr:colOff>409575</xdr:colOff>
      <xdr:row>873</xdr:row>
      <xdr:rowOff>209550</xdr:rowOff>
    </xdr:to>
    <xdr:pic>
      <xdr:nvPicPr>
        <xdr:cNvPr id="5" name="Imag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77771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19050</xdr:rowOff>
    </xdr:from>
    <xdr:to>
      <xdr:col>2</xdr:col>
      <xdr:colOff>409575</xdr:colOff>
      <xdr:row>880</xdr:row>
      <xdr:rowOff>200025</xdr:rowOff>
    </xdr:to>
    <xdr:pic>
      <xdr:nvPicPr>
        <xdr:cNvPr id="6" name="Imag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95011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862</xdr:row>
      <xdr:rowOff>0</xdr:rowOff>
    </xdr:from>
    <xdr:to>
      <xdr:col>1</xdr:col>
      <xdr:colOff>676275</xdr:colOff>
      <xdr:row>865</xdr:row>
      <xdr:rowOff>38100</xdr:rowOff>
    </xdr:to>
    <xdr:pic>
      <xdr:nvPicPr>
        <xdr:cNvPr id="7" name="Image 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551967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865</xdr:row>
      <xdr:rowOff>76200</xdr:rowOff>
    </xdr:from>
    <xdr:to>
      <xdr:col>3</xdr:col>
      <xdr:colOff>762000</xdr:colOff>
      <xdr:row>867</xdr:row>
      <xdr:rowOff>171450</xdr:rowOff>
    </xdr:to>
    <xdr:pic>
      <xdr:nvPicPr>
        <xdr:cNvPr id="8" name="Image 1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633882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871</xdr:row>
      <xdr:rowOff>228600</xdr:rowOff>
    </xdr:from>
    <xdr:to>
      <xdr:col>3</xdr:col>
      <xdr:colOff>676275</xdr:colOff>
      <xdr:row>874</xdr:row>
      <xdr:rowOff>85725</xdr:rowOff>
    </xdr:to>
    <xdr:pic>
      <xdr:nvPicPr>
        <xdr:cNvPr id="9" name="Image 1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797712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878</xdr:row>
      <xdr:rowOff>28575</xdr:rowOff>
    </xdr:from>
    <xdr:to>
      <xdr:col>2</xdr:col>
      <xdr:colOff>409575</xdr:colOff>
      <xdr:row>880</xdr:row>
      <xdr:rowOff>209550</xdr:rowOff>
    </xdr:to>
    <xdr:pic>
      <xdr:nvPicPr>
        <xdr:cNvPr id="10" name="Image 1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95106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878</xdr:row>
      <xdr:rowOff>238125</xdr:rowOff>
    </xdr:from>
    <xdr:to>
      <xdr:col>3</xdr:col>
      <xdr:colOff>714375</xdr:colOff>
      <xdr:row>881</xdr:row>
      <xdr:rowOff>104775</xdr:rowOff>
    </xdr:to>
    <xdr:pic>
      <xdr:nvPicPr>
        <xdr:cNvPr id="11" name="Image 2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972020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19050</xdr:rowOff>
    </xdr:from>
    <xdr:to>
      <xdr:col>2</xdr:col>
      <xdr:colOff>409575</xdr:colOff>
      <xdr:row>888</xdr:row>
      <xdr:rowOff>200025</xdr:rowOff>
    </xdr:to>
    <xdr:pic>
      <xdr:nvPicPr>
        <xdr:cNvPr id="12" name="Image 3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20148232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886</xdr:row>
      <xdr:rowOff>28575</xdr:rowOff>
    </xdr:from>
    <xdr:to>
      <xdr:col>2</xdr:col>
      <xdr:colOff>409575</xdr:colOff>
      <xdr:row>888</xdr:row>
      <xdr:rowOff>209550</xdr:rowOff>
    </xdr:to>
    <xdr:pic>
      <xdr:nvPicPr>
        <xdr:cNvPr id="13" name="Image 3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2014918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887</xdr:row>
      <xdr:rowOff>28575</xdr:rowOff>
    </xdr:from>
    <xdr:to>
      <xdr:col>3</xdr:col>
      <xdr:colOff>695325</xdr:colOff>
      <xdr:row>889</xdr:row>
      <xdr:rowOff>161925</xdr:rowOff>
    </xdr:to>
    <xdr:pic>
      <xdr:nvPicPr>
        <xdr:cNvPr id="14" name="Image 3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20173950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862</xdr:row>
      <xdr:rowOff>76200</xdr:rowOff>
    </xdr:from>
    <xdr:to>
      <xdr:col>7</xdr:col>
      <xdr:colOff>438150</xdr:colOff>
      <xdr:row>864</xdr:row>
      <xdr:rowOff>142875</xdr:rowOff>
    </xdr:to>
    <xdr:pic>
      <xdr:nvPicPr>
        <xdr:cNvPr id="15" name="Image 2"/>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9559587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864</xdr:row>
      <xdr:rowOff>295275</xdr:rowOff>
    </xdr:from>
    <xdr:to>
      <xdr:col>7</xdr:col>
      <xdr:colOff>371475</xdr:colOff>
      <xdr:row>867</xdr:row>
      <xdr:rowOff>219075</xdr:rowOff>
    </xdr:to>
    <xdr:pic>
      <xdr:nvPicPr>
        <xdr:cNvPr id="16" name="Image 3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6262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868</xdr:row>
      <xdr:rowOff>0</xdr:rowOff>
    </xdr:from>
    <xdr:to>
      <xdr:col>7</xdr:col>
      <xdr:colOff>314325</xdr:colOff>
      <xdr:row>870</xdr:row>
      <xdr:rowOff>219075</xdr:rowOff>
    </xdr:to>
    <xdr:pic>
      <xdr:nvPicPr>
        <xdr:cNvPr id="17" name="Image 3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005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590550</xdr:colOff>
      <xdr:row>889</xdr:row>
      <xdr:rowOff>209550</xdr:rowOff>
    </xdr:from>
    <xdr:to>
      <xdr:col>6</xdr:col>
      <xdr:colOff>904875</xdr:colOff>
      <xdr:row>892</xdr:row>
      <xdr:rowOff>180975</xdr:rowOff>
    </xdr:to>
    <xdr:pic>
      <xdr:nvPicPr>
        <xdr:cNvPr id="18" name="Image 4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76950" y="202415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872</xdr:row>
      <xdr:rowOff>0</xdr:rowOff>
    </xdr:from>
    <xdr:to>
      <xdr:col>7</xdr:col>
      <xdr:colOff>314325</xdr:colOff>
      <xdr:row>874</xdr:row>
      <xdr:rowOff>219075</xdr:rowOff>
    </xdr:to>
    <xdr:pic>
      <xdr:nvPicPr>
        <xdr:cNvPr id="19" name="Image 4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79961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874</xdr:row>
      <xdr:rowOff>0</xdr:rowOff>
    </xdr:from>
    <xdr:to>
      <xdr:col>7</xdr:col>
      <xdr:colOff>314325</xdr:colOff>
      <xdr:row>876</xdr:row>
      <xdr:rowOff>219075</xdr:rowOff>
    </xdr:to>
    <xdr:pic>
      <xdr:nvPicPr>
        <xdr:cNvPr id="20" name="Image 43"/>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84914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875</xdr:row>
      <xdr:rowOff>276225</xdr:rowOff>
    </xdr:from>
    <xdr:to>
      <xdr:col>7</xdr:col>
      <xdr:colOff>352425</xdr:colOff>
      <xdr:row>878</xdr:row>
      <xdr:rowOff>219075</xdr:rowOff>
    </xdr:to>
    <xdr:pic>
      <xdr:nvPicPr>
        <xdr:cNvPr id="21" name="Image 4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89867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612</xdr:row>
      <xdr:rowOff>66675</xdr:rowOff>
    </xdr:from>
    <xdr:to>
      <xdr:col>16</xdr:col>
      <xdr:colOff>371475</xdr:colOff>
      <xdr:row>620</xdr:row>
      <xdr:rowOff>28575</xdr:rowOff>
    </xdr:to>
    <xdr:pic>
      <xdr:nvPicPr>
        <xdr:cNvPr id="24" name="Image 23" descr="Résultats de pourcentage dans la colonne D"/>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7892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549</xdr:row>
      <xdr:rowOff>114300</xdr:rowOff>
    </xdr:from>
    <xdr:to>
      <xdr:col>8</xdr:col>
      <xdr:colOff>734586</xdr:colOff>
      <xdr:row>557</xdr:row>
      <xdr:rowOff>47887</xdr:rowOff>
    </xdr:to>
    <xdr:pic>
      <xdr:nvPicPr>
        <xdr:cNvPr id="25" name="Image 2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9311400"/>
          <a:ext cx="8316486" cy="1876687"/>
        </a:xfrm>
        <a:prstGeom prst="rect">
          <a:avLst/>
        </a:prstGeom>
      </xdr:spPr>
    </xdr:pic>
    <xdr:clientData/>
  </xdr:twoCellAnchor>
  <xdr:twoCellAnchor editAs="oneCell">
    <xdr:from>
      <xdr:col>3</xdr:col>
      <xdr:colOff>304800</xdr:colOff>
      <xdr:row>84</xdr:row>
      <xdr:rowOff>200025</xdr:rowOff>
    </xdr:from>
    <xdr:to>
      <xdr:col>3</xdr:col>
      <xdr:colOff>666750</xdr:colOff>
      <xdr:row>84</xdr:row>
      <xdr:rowOff>561975</xdr:rowOff>
    </xdr:to>
    <xdr:pic>
      <xdr:nvPicPr>
        <xdr:cNvPr id="26" name="Pictur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9833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84</xdr:row>
      <xdr:rowOff>180974</xdr:rowOff>
    </xdr:from>
    <xdr:to>
      <xdr:col>4</xdr:col>
      <xdr:colOff>647700</xdr:colOff>
      <xdr:row>84</xdr:row>
      <xdr:rowOff>552449</xdr:rowOff>
    </xdr:to>
    <xdr:pic>
      <xdr:nvPicPr>
        <xdr:cNvPr id="27" name="Pictur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9642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84</xdr:row>
      <xdr:rowOff>142874</xdr:rowOff>
    </xdr:from>
    <xdr:to>
      <xdr:col>5</xdr:col>
      <xdr:colOff>581025</xdr:colOff>
      <xdr:row>84</xdr:row>
      <xdr:rowOff>552449</xdr:rowOff>
    </xdr:to>
    <xdr:pic>
      <xdr:nvPicPr>
        <xdr:cNvPr id="28" name="Pictur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9261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84</xdr:row>
      <xdr:rowOff>171450</xdr:rowOff>
    </xdr:from>
    <xdr:to>
      <xdr:col>6</xdr:col>
      <xdr:colOff>523875</xdr:colOff>
      <xdr:row>84</xdr:row>
      <xdr:rowOff>561975</xdr:rowOff>
    </xdr:to>
    <xdr:pic>
      <xdr:nvPicPr>
        <xdr:cNvPr id="29" name="Pictur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9547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84</xdr:row>
      <xdr:rowOff>161925</xdr:rowOff>
    </xdr:from>
    <xdr:to>
      <xdr:col>7</xdr:col>
      <xdr:colOff>533400</xdr:colOff>
      <xdr:row>84</xdr:row>
      <xdr:rowOff>533400</xdr:rowOff>
    </xdr:to>
    <xdr:pic>
      <xdr:nvPicPr>
        <xdr:cNvPr id="30" name="Pictur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9452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84</xdr:row>
      <xdr:rowOff>190500</xdr:rowOff>
    </xdr:from>
    <xdr:to>
      <xdr:col>8</xdr:col>
      <xdr:colOff>571500</xdr:colOff>
      <xdr:row>84</xdr:row>
      <xdr:rowOff>552450</xdr:rowOff>
    </xdr:to>
    <xdr:pic>
      <xdr:nvPicPr>
        <xdr:cNvPr id="31" name="Picture"/>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9738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84</xdr:row>
      <xdr:rowOff>180975</xdr:rowOff>
    </xdr:from>
    <xdr:to>
      <xdr:col>9</xdr:col>
      <xdr:colOff>552450</xdr:colOff>
      <xdr:row>84</xdr:row>
      <xdr:rowOff>533400</xdr:rowOff>
    </xdr:to>
    <xdr:pic>
      <xdr:nvPicPr>
        <xdr:cNvPr id="32" name="Pictur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9642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84</xdr:row>
      <xdr:rowOff>171450</xdr:rowOff>
    </xdr:from>
    <xdr:to>
      <xdr:col>10</xdr:col>
      <xdr:colOff>476250</xdr:colOff>
      <xdr:row>84</xdr:row>
      <xdr:rowOff>542925</xdr:rowOff>
    </xdr:to>
    <xdr:pic>
      <xdr:nvPicPr>
        <xdr:cNvPr id="33" name="Pictur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9547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84</xdr:row>
      <xdr:rowOff>180975</xdr:rowOff>
    </xdr:from>
    <xdr:to>
      <xdr:col>2</xdr:col>
      <xdr:colOff>781050</xdr:colOff>
      <xdr:row>84</xdr:row>
      <xdr:rowOff>561975</xdr:rowOff>
    </xdr:to>
    <xdr:pic>
      <xdr:nvPicPr>
        <xdr:cNvPr id="34" name="Picture"/>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9642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208</xdr:row>
      <xdr:rowOff>133350</xdr:rowOff>
    </xdr:from>
    <xdr:to>
      <xdr:col>5</xdr:col>
      <xdr:colOff>209549</xdr:colOff>
      <xdr:row>218</xdr:row>
      <xdr:rowOff>219075</xdr:rowOff>
    </xdr:to>
    <xdr:graphicFrame macro="">
      <xdr:nvGraphicFramePr>
        <xdr:cNvPr id="35" name="Diagramme 3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236</xdr:row>
      <xdr:rowOff>117476</xdr:rowOff>
    </xdr:from>
    <xdr:to>
      <xdr:col>3</xdr:col>
      <xdr:colOff>1000125</xdr:colOff>
      <xdr:row>237</xdr:row>
      <xdr:rowOff>89279</xdr:rowOff>
    </xdr:to>
    <xdr:pic>
      <xdr:nvPicPr>
        <xdr:cNvPr id="36" name="Image 35"/>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6276876"/>
          <a:ext cx="2301875" cy="1505328"/>
        </a:xfrm>
        <a:prstGeom prst="rect">
          <a:avLst/>
        </a:prstGeom>
      </xdr:spPr>
    </xdr:pic>
    <xdr:clientData/>
  </xdr:twoCellAnchor>
  <xdr:twoCellAnchor editAs="oneCell">
    <xdr:from>
      <xdr:col>10</xdr:col>
      <xdr:colOff>342900</xdr:colOff>
      <xdr:row>236</xdr:row>
      <xdr:rowOff>247650</xdr:rowOff>
    </xdr:from>
    <xdr:to>
      <xdr:col>12</xdr:col>
      <xdr:colOff>466725</xdr:colOff>
      <xdr:row>236</xdr:row>
      <xdr:rowOff>1301997</xdr:rowOff>
    </xdr:to>
    <xdr:pic>
      <xdr:nvPicPr>
        <xdr:cNvPr id="37" name="Image 36" descr="http://s1.lemde.fr/medias/web/1.2.686/img/friends/logos/logo_chef_simon_97x22.png"/>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64070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236</xdr:row>
      <xdr:rowOff>231778</xdr:rowOff>
    </xdr:from>
    <xdr:to>
      <xdr:col>16</xdr:col>
      <xdr:colOff>466725</xdr:colOff>
      <xdr:row>236</xdr:row>
      <xdr:rowOff>1368434</xdr:rowOff>
    </xdr:to>
    <xdr:pic>
      <xdr:nvPicPr>
        <xdr:cNvPr id="38" name="Image 37"/>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6391178"/>
          <a:ext cx="1987548" cy="1136656"/>
        </a:xfrm>
        <a:prstGeom prst="rect">
          <a:avLst/>
        </a:prstGeom>
      </xdr:spPr>
    </xdr:pic>
    <xdr:clientData/>
  </xdr:twoCellAnchor>
  <xdr:twoCellAnchor editAs="oneCell">
    <xdr:from>
      <xdr:col>1</xdr:col>
      <xdr:colOff>323850</xdr:colOff>
      <xdr:row>277</xdr:row>
      <xdr:rowOff>152400</xdr:rowOff>
    </xdr:from>
    <xdr:to>
      <xdr:col>3</xdr:col>
      <xdr:colOff>676617</xdr:colOff>
      <xdr:row>288</xdr:row>
      <xdr:rowOff>105149</xdr:rowOff>
    </xdr:to>
    <xdr:pic>
      <xdr:nvPicPr>
        <xdr:cNvPr id="39" name="Image 38"/>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8313300"/>
          <a:ext cx="2448267" cy="2676899"/>
        </a:xfrm>
        <a:prstGeom prst="rect">
          <a:avLst/>
        </a:prstGeom>
      </xdr:spPr>
    </xdr:pic>
    <xdr:clientData/>
  </xdr:twoCellAnchor>
  <xdr:twoCellAnchor editAs="oneCell">
    <xdr:from>
      <xdr:col>3</xdr:col>
      <xdr:colOff>971550</xdr:colOff>
      <xdr:row>280</xdr:row>
      <xdr:rowOff>0</xdr:rowOff>
    </xdr:from>
    <xdr:to>
      <xdr:col>6</xdr:col>
      <xdr:colOff>428988</xdr:colOff>
      <xdr:row>286</xdr:row>
      <xdr:rowOff>200260</xdr:rowOff>
    </xdr:to>
    <xdr:pic>
      <xdr:nvPicPr>
        <xdr:cNvPr id="40" name="Image 39"/>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903850"/>
          <a:ext cx="2600688" cy="16861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28</xdr:col>
      <xdr:colOff>0</xdr:colOff>
      <xdr:row>19</xdr:row>
      <xdr:rowOff>85725</xdr:rowOff>
    </xdr:from>
    <xdr:to>
      <xdr:col>28</xdr:col>
      <xdr:colOff>361950</xdr:colOff>
      <xdr:row>19</xdr:row>
      <xdr:rowOff>447675</xdr:rowOff>
    </xdr:to>
    <xdr:pic>
      <xdr:nvPicPr>
        <xdr:cNvPr id="2" name="Pictur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21575" y="862965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19</xdr:row>
      <xdr:rowOff>104775</xdr:rowOff>
    </xdr:from>
    <xdr:to>
      <xdr:col>28</xdr:col>
      <xdr:colOff>409575</xdr:colOff>
      <xdr:row>19</xdr:row>
      <xdr:rowOff>447675</xdr:rowOff>
    </xdr:to>
    <xdr:pic>
      <xdr:nvPicPr>
        <xdr:cNvPr id="3" name="Pictur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78825" y="8648700"/>
          <a:ext cx="4095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19</xdr:row>
      <xdr:rowOff>104775</xdr:rowOff>
    </xdr:from>
    <xdr:to>
      <xdr:col>28</xdr:col>
      <xdr:colOff>371475</xdr:colOff>
      <xdr:row>19</xdr:row>
      <xdr:rowOff>504825</xdr:rowOff>
    </xdr:to>
    <xdr:pic>
      <xdr:nvPicPr>
        <xdr:cNvPr id="4" name="Pictur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850350" y="8648700"/>
          <a:ext cx="3714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19</xdr:row>
      <xdr:rowOff>95250</xdr:rowOff>
    </xdr:from>
    <xdr:to>
      <xdr:col>28</xdr:col>
      <xdr:colOff>419100</xdr:colOff>
      <xdr:row>19</xdr:row>
      <xdr:rowOff>485775</xdr:rowOff>
    </xdr:to>
    <xdr:pic>
      <xdr:nvPicPr>
        <xdr:cNvPr id="5" name="Pictur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659975" y="863917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19</xdr:row>
      <xdr:rowOff>123825</xdr:rowOff>
    </xdr:from>
    <xdr:to>
      <xdr:col>28</xdr:col>
      <xdr:colOff>361950</xdr:colOff>
      <xdr:row>19</xdr:row>
      <xdr:rowOff>495300</xdr:rowOff>
    </xdr:to>
    <xdr:pic>
      <xdr:nvPicPr>
        <xdr:cNvPr id="6" name="Pictur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450550" y="8667750"/>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19</xdr:row>
      <xdr:rowOff>114300</xdr:rowOff>
    </xdr:from>
    <xdr:to>
      <xdr:col>28</xdr:col>
      <xdr:colOff>428625</xdr:colOff>
      <xdr:row>19</xdr:row>
      <xdr:rowOff>476250</xdr:rowOff>
    </xdr:to>
    <xdr:pic>
      <xdr:nvPicPr>
        <xdr:cNvPr id="7" name="Pictur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4107775" y="8658225"/>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19</xdr:row>
      <xdr:rowOff>104775</xdr:rowOff>
    </xdr:from>
    <xdr:to>
      <xdr:col>28</xdr:col>
      <xdr:colOff>323850</xdr:colOff>
      <xdr:row>19</xdr:row>
      <xdr:rowOff>457200</xdr:rowOff>
    </xdr:to>
    <xdr:pic>
      <xdr:nvPicPr>
        <xdr:cNvPr id="8" name="Pictur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917400" y="8648700"/>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19</xdr:row>
      <xdr:rowOff>95250</xdr:rowOff>
    </xdr:from>
    <xdr:to>
      <xdr:col>28</xdr:col>
      <xdr:colOff>352425</xdr:colOff>
      <xdr:row>19</xdr:row>
      <xdr:rowOff>466725</xdr:rowOff>
    </xdr:to>
    <xdr:pic>
      <xdr:nvPicPr>
        <xdr:cNvPr id="9" name="Pictur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612725" y="863917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0</xdr:colOff>
      <xdr:row>19</xdr:row>
      <xdr:rowOff>66675</xdr:rowOff>
    </xdr:from>
    <xdr:to>
      <xdr:col>28</xdr:col>
      <xdr:colOff>352425</xdr:colOff>
      <xdr:row>19</xdr:row>
      <xdr:rowOff>447675</xdr:rowOff>
    </xdr:to>
    <xdr:pic>
      <xdr:nvPicPr>
        <xdr:cNvPr id="10" name="Pictur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9221450" y="8610600"/>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4</xdr:col>
      <xdr:colOff>200025</xdr:colOff>
      <xdr:row>77</xdr:row>
      <xdr:rowOff>66675</xdr:rowOff>
    </xdr:from>
    <xdr:to>
      <xdr:col>6</xdr:col>
      <xdr:colOff>304800</xdr:colOff>
      <xdr:row>80</xdr:row>
      <xdr:rowOff>28575</xdr:rowOff>
    </xdr:to>
    <xdr:sp macro="" textlink="">
      <xdr:nvSpPr>
        <xdr:cNvPr id="2" name="Bulle ronde 1"/>
        <xdr:cNvSpPr/>
      </xdr:nvSpPr>
      <xdr:spPr bwMode="auto">
        <a:xfrm>
          <a:off x="2743200" y="19535775"/>
          <a:ext cx="2124075" cy="647700"/>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Saisissez le poids de fabrication</a:t>
          </a:r>
        </a:p>
      </xdr:txBody>
    </xdr:sp>
    <xdr:clientData/>
  </xdr:twoCellAnchor>
  <xdr:twoCellAnchor>
    <xdr:from>
      <xdr:col>3</xdr:col>
      <xdr:colOff>1028700</xdr:colOff>
      <xdr:row>81</xdr:row>
      <xdr:rowOff>266699</xdr:rowOff>
    </xdr:from>
    <xdr:to>
      <xdr:col>5</xdr:col>
      <xdr:colOff>952500</xdr:colOff>
      <xdr:row>81</xdr:row>
      <xdr:rowOff>904874</xdr:rowOff>
    </xdr:to>
    <xdr:sp macro="" textlink="">
      <xdr:nvSpPr>
        <xdr:cNvPr id="3" name="Bulle ronde 2"/>
        <xdr:cNvSpPr/>
      </xdr:nvSpPr>
      <xdr:spPr bwMode="auto">
        <a:xfrm>
          <a:off x="2457450" y="20650199"/>
          <a:ext cx="1943100" cy="638175"/>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Saisissez votre</a:t>
          </a:r>
          <a:r>
            <a:rPr lang="fr-FR" sz="1100" baseline="0">
              <a:solidFill>
                <a:srgbClr val="FF0000"/>
              </a:solidFill>
            </a:rPr>
            <a:t> N° choix</a:t>
          </a:r>
          <a:endParaRPr lang="fr-FR" sz="1100">
            <a:solidFill>
              <a:srgbClr val="FF0000"/>
            </a:solidFill>
          </a:endParaRPr>
        </a:p>
      </xdr:txBody>
    </xdr:sp>
    <xdr:clientData/>
  </xdr:twoCellAnchor>
  <xdr:twoCellAnchor>
    <xdr:from>
      <xdr:col>12</xdr:col>
      <xdr:colOff>2438400</xdr:colOff>
      <xdr:row>84</xdr:row>
      <xdr:rowOff>133350</xdr:rowOff>
    </xdr:from>
    <xdr:to>
      <xdr:col>12</xdr:col>
      <xdr:colOff>3895725</xdr:colOff>
      <xdr:row>86</xdr:row>
      <xdr:rowOff>219074</xdr:rowOff>
    </xdr:to>
    <xdr:sp macro="" textlink="">
      <xdr:nvSpPr>
        <xdr:cNvPr id="4" name="Bulle ronde 3"/>
        <xdr:cNvSpPr/>
      </xdr:nvSpPr>
      <xdr:spPr bwMode="auto">
        <a:xfrm>
          <a:off x="14439900" y="22736175"/>
          <a:ext cx="1457325" cy="561974"/>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Saisissez votre</a:t>
          </a:r>
          <a:r>
            <a:rPr lang="fr-FR" sz="1100" baseline="0">
              <a:solidFill>
                <a:srgbClr val="FF0000"/>
              </a:solidFill>
            </a:rPr>
            <a:t> texte</a:t>
          </a:r>
          <a:endParaRPr lang="fr-FR" sz="1100">
            <a:solidFill>
              <a:srgbClr val="FF0000"/>
            </a:solidFill>
          </a:endParaRPr>
        </a:p>
      </xdr:txBody>
    </xdr:sp>
    <xdr:clientData/>
  </xdr:twoCellAnchor>
  <xdr:twoCellAnchor>
    <xdr:from>
      <xdr:col>12</xdr:col>
      <xdr:colOff>857250</xdr:colOff>
      <xdr:row>81</xdr:row>
      <xdr:rowOff>219074</xdr:rowOff>
    </xdr:from>
    <xdr:to>
      <xdr:col>12</xdr:col>
      <xdr:colOff>3524250</xdr:colOff>
      <xdr:row>81</xdr:row>
      <xdr:rowOff>1590675</xdr:rowOff>
    </xdr:to>
    <xdr:sp macro="" textlink="">
      <xdr:nvSpPr>
        <xdr:cNvPr id="5" name="ZoneTexte 4"/>
        <xdr:cNvSpPr txBox="1"/>
      </xdr:nvSpPr>
      <xdr:spPr>
        <a:xfrm>
          <a:off x="12858750" y="20602574"/>
          <a:ext cx="2667000" cy="1371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C00000"/>
              </a:solidFill>
            </a:rPr>
            <a:t>poids de votre portion et l'Auteur à prévu sa recette pour : sont</a:t>
          </a:r>
          <a:r>
            <a:rPr lang="fr-FR" sz="1400" b="1" baseline="0">
              <a:solidFill>
                <a:srgbClr val="C00000"/>
              </a:solidFill>
            </a:rPr>
            <a:t> 2 aides à la décision facultatives.Cela vous donne seulement des informations</a:t>
          </a:r>
          <a:endParaRPr lang="fr-FR" sz="1400" b="1">
            <a:solidFill>
              <a:srgbClr val="C00000"/>
            </a:solidFill>
          </a:endParaRPr>
        </a:p>
      </xdr:txBody>
    </xdr:sp>
    <xdr:clientData/>
  </xdr:twoCellAnchor>
  <xdr:twoCellAnchor>
    <xdr:from>
      <xdr:col>18</xdr:col>
      <xdr:colOff>533400</xdr:colOff>
      <xdr:row>81</xdr:row>
      <xdr:rowOff>190500</xdr:rowOff>
    </xdr:from>
    <xdr:to>
      <xdr:col>19</xdr:col>
      <xdr:colOff>1114425</xdr:colOff>
      <xdr:row>81</xdr:row>
      <xdr:rowOff>1057275</xdr:rowOff>
    </xdr:to>
    <xdr:sp macro="" textlink="">
      <xdr:nvSpPr>
        <xdr:cNvPr id="6" name="Bulle ronde 5"/>
        <xdr:cNvSpPr/>
      </xdr:nvSpPr>
      <xdr:spPr bwMode="auto">
        <a:xfrm>
          <a:off x="19326225" y="20574000"/>
          <a:ext cx="1695450" cy="866775"/>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indiquez</a:t>
          </a:r>
          <a:r>
            <a:rPr lang="fr-FR" sz="1100" baseline="0">
              <a:solidFill>
                <a:srgbClr val="FF0000"/>
              </a:solidFill>
            </a:rPr>
            <a:t> le temps la cellule est formatée pour ajouter mn</a:t>
          </a:r>
          <a:endParaRPr lang="fr-FR" sz="1100">
            <a:solidFill>
              <a:srgbClr val="FF0000"/>
            </a:solidFill>
          </a:endParaRPr>
        </a:p>
      </xdr:txBody>
    </xdr:sp>
    <xdr:clientData/>
  </xdr:twoCellAnchor>
  <xdr:twoCellAnchor>
    <xdr:from>
      <xdr:col>19</xdr:col>
      <xdr:colOff>4057650</xdr:colOff>
      <xdr:row>79</xdr:row>
      <xdr:rowOff>190500</xdr:rowOff>
    </xdr:from>
    <xdr:to>
      <xdr:col>21</xdr:col>
      <xdr:colOff>0</xdr:colOff>
      <xdr:row>81</xdr:row>
      <xdr:rowOff>723900</xdr:rowOff>
    </xdr:to>
    <xdr:sp macro="" textlink="">
      <xdr:nvSpPr>
        <xdr:cNvPr id="7" name="Légende encadrée 3 6"/>
        <xdr:cNvSpPr/>
      </xdr:nvSpPr>
      <xdr:spPr>
        <a:xfrm>
          <a:off x="23955375" y="20116800"/>
          <a:ext cx="847725" cy="990600"/>
        </a:xfrm>
        <a:prstGeom prst="borderCallout3">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fr-FR" sz="1100">
              <a:solidFill>
                <a:srgbClr val="FF0000"/>
              </a:solidFill>
            </a:rPr>
            <a:t>indiquez également le temps de cuisson (facultatif)</a:t>
          </a:r>
          <a:r>
            <a:rPr lang="fr-FR" sz="1100" baseline="0">
              <a:solidFill>
                <a:srgbClr val="FF0000"/>
              </a:solidFill>
            </a:rPr>
            <a:t> la cellule est formatée pour ajouter mn</a:t>
          </a:r>
          <a:endParaRPr lang="fr-FR" sz="1100">
            <a:solidFill>
              <a:srgbClr val="FF0000"/>
            </a:solidFill>
          </a:endParaRPr>
        </a:p>
      </xdr:txBody>
    </xdr:sp>
    <xdr:clientData/>
  </xdr:twoCellAnchor>
  <xdr:twoCellAnchor>
    <xdr:from>
      <xdr:col>6</xdr:col>
      <xdr:colOff>38100</xdr:colOff>
      <xdr:row>79</xdr:row>
      <xdr:rowOff>76200</xdr:rowOff>
    </xdr:from>
    <xdr:to>
      <xdr:col>7</xdr:col>
      <xdr:colOff>828675</xdr:colOff>
      <xdr:row>81</xdr:row>
      <xdr:rowOff>1390650</xdr:rowOff>
    </xdr:to>
    <xdr:sp macro="" textlink="">
      <xdr:nvSpPr>
        <xdr:cNvPr id="8" name="ZoneTexte 7"/>
        <xdr:cNvSpPr txBox="1"/>
      </xdr:nvSpPr>
      <xdr:spPr>
        <a:xfrm>
          <a:off x="4600575" y="20002500"/>
          <a:ext cx="4838700" cy="177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C00000"/>
              </a:solidFill>
            </a:rPr>
            <a:t>Pour le choix vous avez 3 affichages possibles</a:t>
          </a:r>
        </a:p>
        <a:p>
          <a:pPr algn="l"/>
          <a:r>
            <a:rPr lang="fr-FR" sz="1200" b="1">
              <a:solidFill>
                <a:srgbClr val="C00000"/>
              </a:solidFill>
            </a:rPr>
            <a:t>1 = vous respectez la recette de l'Auteur et vous la multipliez par le poids que vous voulez</a:t>
          </a:r>
        </a:p>
        <a:p>
          <a:pPr algn="l"/>
          <a:r>
            <a:rPr lang="fr-FR" sz="1200" b="1">
              <a:solidFill>
                <a:schemeClr val="accent6">
                  <a:lumMod val="50000"/>
                </a:schemeClr>
              </a:solidFill>
            </a:rPr>
            <a:t>2 = comme la N°1 mais si vous avez ajouté des pourcentages de perte le net sera diminué (100g brut - 40% de perte = 60 g NET)</a:t>
          </a:r>
        </a:p>
        <a:p>
          <a:pPr algn="l"/>
          <a:r>
            <a:rPr lang="fr-FR" sz="1100" b="1" i="0" u="none" strike="noStrike">
              <a:solidFill>
                <a:srgbClr val="0070C0"/>
              </a:solidFill>
              <a:effectLst/>
              <a:latin typeface="Calibri" panose="020F0502020204030204" pitchFamily="34" charset="0"/>
            </a:rPr>
            <a:t>3 = comme la N° 2 MAIS vous voulez maitriser votre grammage assiette donc le poids que vous demandez est un poids net à obtenir l'affichage de la recette sera en poids BRUT augmenté et en NET demandé (100g net demandé + 40% de perte = 166 g BRUT)</a:t>
          </a:r>
          <a:r>
            <a:rPr lang="fr-FR"/>
            <a:t> </a:t>
          </a:r>
          <a:endParaRPr lang="fr-FR" sz="1200" b="1">
            <a:solidFill>
              <a:srgbClr val="C00000"/>
            </a:solidFill>
          </a:endParaRPr>
        </a:p>
      </xdr:txBody>
    </xdr:sp>
    <xdr:clientData/>
  </xdr:twoCellAnchor>
  <xdr:twoCellAnchor>
    <xdr:from>
      <xdr:col>6</xdr:col>
      <xdr:colOff>1143000</xdr:colOff>
      <xdr:row>85</xdr:row>
      <xdr:rowOff>19050</xdr:rowOff>
    </xdr:from>
    <xdr:to>
      <xdr:col>6</xdr:col>
      <xdr:colOff>3810000</xdr:colOff>
      <xdr:row>87</xdr:row>
      <xdr:rowOff>219075</xdr:rowOff>
    </xdr:to>
    <xdr:sp macro="" textlink="">
      <xdr:nvSpPr>
        <xdr:cNvPr id="9" name="ZoneTexte 8"/>
        <xdr:cNvSpPr txBox="1"/>
      </xdr:nvSpPr>
      <xdr:spPr>
        <a:xfrm>
          <a:off x="5705475" y="22860000"/>
          <a:ext cx="2667000"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C00000"/>
              </a:solidFill>
            </a:rPr>
            <a:t>Ne saisissez rien dans ces</a:t>
          </a:r>
          <a:r>
            <a:rPr lang="fr-FR" sz="1400" b="1" baseline="0">
              <a:solidFill>
                <a:srgbClr val="C00000"/>
              </a:solidFill>
            </a:rPr>
            <a:t> tableaux</a:t>
          </a:r>
          <a:endParaRPr lang="fr-FR" sz="1400" b="1">
            <a:solidFill>
              <a:srgbClr val="C00000"/>
            </a:solidFill>
          </a:endParaRPr>
        </a:p>
      </xdr:txBody>
    </xdr:sp>
    <xdr:clientData/>
  </xdr:twoCellAnchor>
  <xdr:twoCellAnchor editAs="oneCell">
    <xdr:from>
      <xdr:col>7</xdr:col>
      <xdr:colOff>142875</xdr:colOff>
      <xdr:row>101</xdr:row>
      <xdr:rowOff>64171</xdr:rowOff>
    </xdr:from>
    <xdr:to>
      <xdr:col>13</xdr:col>
      <xdr:colOff>809625</xdr:colOff>
      <xdr:row>108</xdr:row>
      <xdr:rowOff>79600</xdr:rowOff>
    </xdr:to>
    <xdr:pic>
      <xdr:nvPicPr>
        <xdr:cNvPr id="10" name="Imag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753475" y="26743696"/>
          <a:ext cx="8105775" cy="1453704"/>
        </a:xfrm>
        <a:prstGeom prst="rect">
          <a:avLst/>
        </a:prstGeom>
      </xdr:spPr>
    </xdr:pic>
    <xdr:clientData/>
  </xdr:twoCellAnchor>
  <xdr:twoCellAnchor>
    <xdr:from>
      <xdr:col>33</xdr:col>
      <xdr:colOff>142875</xdr:colOff>
      <xdr:row>86</xdr:row>
      <xdr:rowOff>19050</xdr:rowOff>
    </xdr:from>
    <xdr:to>
      <xdr:col>44</xdr:col>
      <xdr:colOff>561975</xdr:colOff>
      <xdr:row>88</xdr:row>
      <xdr:rowOff>19050</xdr:rowOff>
    </xdr:to>
    <xdr:sp macro="" textlink="">
      <xdr:nvSpPr>
        <xdr:cNvPr id="11" name="ZoneTexte 10"/>
        <xdr:cNvSpPr txBox="1"/>
      </xdr:nvSpPr>
      <xdr:spPr>
        <a:xfrm>
          <a:off x="36528375" y="23098125"/>
          <a:ext cx="97440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C00000"/>
              </a:solidFill>
            </a:rPr>
            <a:t>Vous n'avez rien à saisir dans ces colonnes</a:t>
          </a:r>
        </a:p>
      </xdr:txBody>
    </xdr:sp>
    <xdr:clientData/>
  </xdr:twoCellAnchor>
  <xdr:twoCellAnchor>
    <xdr:from>
      <xdr:col>30</xdr:col>
      <xdr:colOff>133350</xdr:colOff>
      <xdr:row>79</xdr:row>
      <xdr:rowOff>76200</xdr:rowOff>
    </xdr:from>
    <xdr:to>
      <xdr:col>44</xdr:col>
      <xdr:colOff>590550</xdr:colOff>
      <xdr:row>81</xdr:row>
      <xdr:rowOff>161925</xdr:rowOff>
    </xdr:to>
    <xdr:sp macro="" textlink="">
      <xdr:nvSpPr>
        <xdr:cNvPr id="12" name="ZoneTexte 11"/>
        <xdr:cNvSpPr txBox="1"/>
      </xdr:nvSpPr>
      <xdr:spPr>
        <a:xfrm>
          <a:off x="33975675" y="20002500"/>
          <a:ext cx="1232535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C00000"/>
              </a:solidFill>
            </a:rPr>
            <a:t>Vous n'avez rien à saisir dans ces colonnes</a:t>
          </a:r>
        </a:p>
      </xdr:txBody>
    </xdr:sp>
    <xdr:clientData/>
  </xdr:twoCellAnchor>
  <xdr:twoCellAnchor editAs="oneCell">
    <xdr:from>
      <xdr:col>12</xdr:col>
      <xdr:colOff>152400</xdr:colOff>
      <xdr:row>129</xdr:row>
      <xdr:rowOff>28575</xdr:rowOff>
    </xdr:from>
    <xdr:to>
      <xdr:col>12</xdr:col>
      <xdr:colOff>3223895</xdr:colOff>
      <xdr:row>142</xdr:row>
      <xdr:rowOff>33020</xdr:rowOff>
    </xdr:to>
    <xdr:pic>
      <xdr:nvPicPr>
        <xdr:cNvPr id="13" name="Image 1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153900" y="32537400"/>
          <a:ext cx="3071495" cy="2633345"/>
        </a:xfrm>
        <a:prstGeom prst="rect">
          <a:avLst/>
        </a:prstGeom>
      </xdr:spPr>
    </xdr:pic>
    <xdr:clientData/>
  </xdr:twoCellAnchor>
  <xdr:twoCellAnchor editAs="oneCell">
    <xdr:from>
      <xdr:col>12</xdr:col>
      <xdr:colOff>2984499</xdr:colOff>
      <xdr:row>120</xdr:row>
      <xdr:rowOff>184149</xdr:rowOff>
    </xdr:from>
    <xdr:to>
      <xdr:col>13</xdr:col>
      <xdr:colOff>265533</xdr:colOff>
      <xdr:row>124</xdr:row>
      <xdr:rowOff>114299</xdr:rowOff>
    </xdr:to>
    <xdr:pic>
      <xdr:nvPicPr>
        <xdr:cNvPr id="14" name="Image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985999" y="30759399"/>
          <a:ext cx="1329159" cy="892175"/>
        </a:xfrm>
        <a:prstGeom prst="rect">
          <a:avLst/>
        </a:prstGeom>
      </xdr:spPr>
    </xdr:pic>
    <xdr:clientData/>
  </xdr:twoCellAnchor>
  <xdr:twoCellAnchor editAs="oneCell">
    <xdr:from>
      <xdr:col>16</xdr:col>
      <xdr:colOff>352424</xdr:colOff>
      <xdr:row>109</xdr:row>
      <xdr:rowOff>85725</xdr:rowOff>
    </xdr:from>
    <xdr:to>
      <xdr:col>18</xdr:col>
      <xdr:colOff>478803</xdr:colOff>
      <xdr:row>112</xdr:row>
      <xdr:rowOff>85725</xdr:rowOff>
    </xdr:to>
    <xdr:pic>
      <xdr:nvPicPr>
        <xdr:cNvPr id="15" name="Image 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849849" y="28403550"/>
          <a:ext cx="1421779" cy="685800"/>
        </a:xfrm>
        <a:prstGeom prst="rect">
          <a:avLst/>
        </a:prstGeom>
      </xdr:spPr>
    </xdr:pic>
    <xdr:clientData/>
  </xdr:twoCellAnchor>
  <xdr:twoCellAnchor>
    <xdr:from>
      <xdr:col>25</xdr:col>
      <xdr:colOff>800100</xdr:colOff>
      <xdr:row>84</xdr:row>
      <xdr:rowOff>104775</xdr:rowOff>
    </xdr:from>
    <xdr:to>
      <xdr:col>29</xdr:col>
      <xdr:colOff>419100</xdr:colOff>
      <xdr:row>87</xdr:row>
      <xdr:rowOff>180975</xdr:rowOff>
    </xdr:to>
    <xdr:sp macro="" textlink="">
      <xdr:nvSpPr>
        <xdr:cNvPr id="16" name="ZoneTexte 15"/>
        <xdr:cNvSpPr txBox="1"/>
      </xdr:nvSpPr>
      <xdr:spPr>
        <a:xfrm>
          <a:off x="28994100" y="22707600"/>
          <a:ext cx="30099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C00000"/>
              </a:solidFill>
            </a:rPr>
            <a:t>Saisissez vos pourcentages de pertes soit pour toute la recette soit par produit</a:t>
          </a:r>
        </a:p>
      </xdr:txBody>
    </xdr:sp>
    <xdr:clientData/>
  </xdr:twoCellAnchor>
  <xdr:oneCellAnchor>
    <xdr:from>
      <xdr:col>12</xdr:col>
      <xdr:colOff>1981200</xdr:colOff>
      <xdr:row>11</xdr:row>
      <xdr:rowOff>57150</xdr:rowOff>
    </xdr:from>
    <xdr:ext cx="2562583" cy="200053"/>
    <xdr:pic>
      <xdr:nvPicPr>
        <xdr:cNvPr id="17" name="Image 1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982700" y="2676525"/>
          <a:ext cx="2562583" cy="200053"/>
        </a:xfrm>
        <a:prstGeom prst="rect">
          <a:avLst/>
        </a:prstGeom>
      </xdr:spPr>
    </xdr:pic>
    <xdr:clientData/>
  </xdr:oneCellAnchor>
  <xdr:oneCellAnchor>
    <xdr:from>
      <xdr:col>12</xdr:col>
      <xdr:colOff>2695575</xdr:colOff>
      <xdr:row>12</xdr:row>
      <xdr:rowOff>133350</xdr:rowOff>
    </xdr:from>
    <xdr:ext cx="1457528" cy="657317"/>
    <xdr:pic>
      <xdr:nvPicPr>
        <xdr:cNvPr id="18" name="Image 1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697075" y="2990850"/>
          <a:ext cx="1457528" cy="657317"/>
        </a:xfrm>
        <a:prstGeom prst="rect">
          <a:avLst/>
        </a:prstGeom>
      </xdr:spPr>
    </xdr:pic>
    <xdr:clientData/>
  </xdr:oneCellAnchor>
  <xdr:twoCellAnchor editAs="oneCell">
    <xdr:from>
      <xdr:col>7</xdr:col>
      <xdr:colOff>171450</xdr:colOff>
      <xdr:row>129</xdr:row>
      <xdr:rowOff>38100</xdr:rowOff>
    </xdr:from>
    <xdr:to>
      <xdr:col>11</xdr:col>
      <xdr:colOff>876300</xdr:colOff>
      <xdr:row>136</xdr:row>
      <xdr:rowOff>0</xdr:rowOff>
    </xdr:to>
    <xdr:pic>
      <xdr:nvPicPr>
        <xdr:cNvPr id="19" name="Image 18"/>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782050" y="32546925"/>
          <a:ext cx="2981325" cy="1381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1981200</xdr:colOff>
      <xdr:row>74</xdr:row>
      <xdr:rowOff>57150</xdr:rowOff>
    </xdr:from>
    <xdr:to>
      <xdr:col>22</xdr:col>
      <xdr:colOff>495658</xdr:colOff>
      <xdr:row>75</xdr:row>
      <xdr:rowOff>66703</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69550" y="15154275"/>
          <a:ext cx="2562583" cy="200053"/>
        </a:xfrm>
        <a:prstGeom prst="rect">
          <a:avLst/>
        </a:prstGeom>
      </xdr:spPr>
    </xdr:pic>
    <xdr:clientData/>
  </xdr:twoCellAnchor>
  <xdr:twoCellAnchor editAs="oneCell">
    <xdr:from>
      <xdr:col>21</xdr:col>
      <xdr:colOff>2466975</xdr:colOff>
      <xdr:row>75</xdr:row>
      <xdr:rowOff>57150</xdr:rowOff>
    </xdr:from>
    <xdr:to>
      <xdr:col>21</xdr:col>
      <xdr:colOff>3924503</xdr:colOff>
      <xdr:row>78</xdr:row>
      <xdr:rowOff>142967</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55325" y="15354300"/>
          <a:ext cx="1457528" cy="6573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1981200</xdr:colOff>
      <xdr:row>105</xdr:row>
      <xdr:rowOff>57150</xdr:rowOff>
    </xdr:from>
    <xdr:to>
      <xdr:col>23</xdr:col>
      <xdr:colOff>495658</xdr:colOff>
      <xdr:row>106</xdr:row>
      <xdr:rowOff>9553</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069550" y="15154275"/>
          <a:ext cx="2562583" cy="200053"/>
        </a:xfrm>
        <a:prstGeom prst="rect">
          <a:avLst/>
        </a:prstGeom>
      </xdr:spPr>
    </xdr:pic>
    <xdr:clientData/>
  </xdr:twoCellAnchor>
  <xdr:twoCellAnchor editAs="oneCell">
    <xdr:from>
      <xdr:col>22</xdr:col>
      <xdr:colOff>2466975</xdr:colOff>
      <xdr:row>106</xdr:row>
      <xdr:rowOff>57150</xdr:rowOff>
    </xdr:from>
    <xdr:to>
      <xdr:col>22</xdr:col>
      <xdr:colOff>3924503</xdr:colOff>
      <xdr:row>108</xdr:row>
      <xdr:rowOff>219167</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555325" y="15354300"/>
          <a:ext cx="1457528" cy="657317"/>
        </a:xfrm>
        <a:prstGeom prst="rect">
          <a:avLst/>
        </a:prstGeom>
      </xdr:spPr>
    </xdr:pic>
    <xdr:clientData/>
  </xdr:twoCellAnchor>
  <xdr:twoCellAnchor editAs="oneCell">
    <xdr:from>
      <xdr:col>2</xdr:col>
      <xdr:colOff>47625</xdr:colOff>
      <xdr:row>3</xdr:row>
      <xdr:rowOff>152399</xdr:rowOff>
    </xdr:from>
    <xdr:to>
      <xdr:col>7</xdr:col>
      <xdr:colOff>304800</xdr:colOff>
      <xdr:row>42</xdr:row>
      <xdr:rowOff>57149</xdr:rowOff>
    </xdr:to>
    <xdr:pic>
      <xdr:nvPicPr>
        <xdr:cNvPr id="4" name="Image 3"/>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62000" y="1685924"/>
          <a:ext cx="7734300" cy="9191625"/>
        </a:xfrm>
        <a:prstGeom prst="rect">
          <a:avLst/>
        </a:prstGeom>
      </xdr:spPr>
    </xdr:pic>
    <xdr:clientData/>
  </xdr:twoCellAnchor>
  <xdr:twoCellAnchor>
    <xdr:from>
      <xdr:col>3</xdr:col>
      <xdr:colOff>1000125</xdr:colOff>
      <xdr:row>101</xdr:row>
      <xdr:rowOff>0</xdr:rowOff>
    </xdr:from>
    <xdr:to>
      <xdr:col>13</xdr:col>
      <xdr:colOff>47625</xdr:colOff>
      <xdr:row>120</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1981200</xdr:colOff>
      <xdr:row>58</xdr:row>
      <xdr:rowOff>57150</xdr:rowOff>
    </xdr:from>
    <xdr:to>
      <xdr:col>18</xdr:col>
      <xdr:colOff>495658</xdr:colOff>
      <xdr:row>59</xdr:row>
      <xdr:rowOff>57178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536025" y="15154275"/>
          <a:ext cx="2562583" cy="200053"/>
        </a:xfrm>
        <a:prstGeom prst="rect">
          <a:avLst/>
        </a:prstGeom>
      </xdr:spPr>
    </xdr:pic>
    <xdr:clientData/>
  </xdr:twoCellAnchor>
  <xdr:twoCellAnchor editAs="oneCell">
    <xdr:from>
      <xdr:col>17</xdr:col>
      <xdr:colOff>2466975</xdr:colOff>
      <xdr:row>59</xdr:row>
      <xdr:rowOff>57150</xdr:rowOff>
    </xdr:from>
    <xdr:to>
      <xdr:col>17</xdr:col>
      <xdr:colOff>3924503</xdr:colOff>
      <xdr:row>62</xdr:row>
      <xdr:rowOff>38192</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021800" y="15354300"/>
          <a:ext cx="1457528" cy="657317"/>
        </a:xfrm>
        <a:prstGeom prst="rect">
          <a:avLst/>
        </a:prstGeom>
      </xdr:spPr>
    </xdr:pic>
    <xdr:clientData/>
  </xdr:twoCellAnchor>
  <xdr:twoCellAnchor editAs="oneCell">
    <xdr:from>
      <xdr:col>10</xdr:col>
      <xdr:colOff>2038350</xdr:colOff>
      <xdr:row>25</xdr:row>
      <xdr:rowOff>66675</xdr:rowOff>
    </xdr:from>
    <xdr:to>
      <xdr:col>11</xdr:col>
      <xdr:colOff>385794</xdr:colOff>
      <xdr:row>28</xdr:row>
      <xdr:rowOff>114300</xdr:rowOff>
    </xdr:to>
    <xdr:pic>
      <xdr:nvPicPr>
        <xdr:cNvPr id="5" name="Image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087225" y="7381875"/>
          <a:ext cx="2395569" cy="762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7</xdr:row>
      <xdr:rowOff>33336</xdr:rowOff>
    </xdr:from>
    <xdr:to>
      <xdr:col>17</xdr:col>
      <xdr:colOff>342900</xdr:colOff>
      <xdr:row>30</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9</xdr:col>
      <xdr:colOff>428625</xdr:colOff>
      <xdr:row>46</xdr:row>
      <xdr:rowOff>152400</xdr:rowOff>
    </xdr:to>
    <xdr:pic>
      <xdr:nvPicPr>
        <xdr:cNvPr id="2" name="Image 1" descr="1.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0025"/>
          <a:ext cx="6029325" cy="3219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342900</xdr:colOff>
      <xdr:row>31</xdr:row>
      <xdr:rowOff>38100</xdr:rowOff>
    </xdr:from>
    <xdr:to>
      <xdr:col>14</xdr:col>
      <xdr:colOff>390525</xdr:colOff>
      <xdr:row>46</xdr:row>
      <xdr:rowOff>123825</xdr:rowOff>
    </xdr:to>
    <xdr:pic>
      <xdr:nvPicPr>
        <xdr:cNvPr id="3" name="Image 2" descr="2.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15100" y="238125"/>
          <a:ext cx="34766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53</xdr:row>
      <xdr:rowOff>0</xdr:rowOff>
    </xdr:from>
    <xdr:to>
      <xdr:col>5</xdr:col>
      <xdr:colOff>476250</xdr:colOff>
      <xdr:row>69</xdr:row>
      <xdr:rowOff>123825</xdr:rowOff>
    </xdr:to>
    <xdr:pic>
      <xdr:nvPicPr>
        <xdr:cNvPr id="5" name="Image 4" descr="olid lev.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5467350"/>
          <a:ext cx="3638550" cy="332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50801</xdr:colOff>
      <xdr:row>21</xdr:row>
      <xdr:rowOff>69850</xdr:rowOff>
    </xdr:from>
    <xdr:to>
      <xdr:col>10</xdr:col>
      <xdr:colOff>22966</xdr:colOff>
      <xdr:row>27</xdr:row>
      <xdr:rowOff>136702</xdr:rowOff>
    </xdr:to>
    <xdr:pic>
      <xdr:nvPicPr>
        <xdr:cNvPr id="6" name="Image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36801" y="2717800"/>
          <a:ext cx="5306165" cy="1267002"/>
        </a:xfrm>
        <a:prstGeom prst="rect">
          <a:avLst/>
        </a:prstGeom>
      </xdr:spPr>
    </xdr:pic>
    <xdr:clientData/>
  </xdr:twoCellAnchor>
  <xdr:twoCellAnchor editAs="oneCell">
    <xdr:from>
      <xdr:col>6</xdr:col>
      <xdr:colOff>317501</xdr:colOff>
      <xdr:row>53</xdr:row>
      <xdr:rowOff>41276</xdr:rowOff>
    </xdr:from>
    <xdr:to>
      <xdr:col>13</xdr:col>
      <xdr:colOff>99140</xdr:colOff>
      <xdr:row>71</xdr:row>
      <xdr:rowOff>184673</xdr:rowOff>
    </xdr:to>
    <xdr:pic>
      <xdr:nvPicPr>
        <xdr:cNvPr id="7" name="Image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889501" y="9156701"/>
          <a:ext cx="5115639" cy="3743847"/>
        </a:xfrm>
        <a:prstGeom prst="rect">
          <a:avLst/>
        </a:prstGeom>
      </xdr:spPr>
    </xdr:pic>
    <xdr:clientData/>
  </xdr:twoCellAnchor>
  <xdr:twoCellAnchor editAs="oneCell">
    <xdr:from>
      <xdr:col>0</xdr:col>
      <xdr:colOff>0</xdr:colOff>
      <xdr:row>75</xdr:row>
      <xdr:rowOff>0</xdr:rowOff>
    </xdr:from>
    <xdr:to>
      <xdr:col>7</xdr:col>
      <xdr:colOff>47625</xdr:colOff>
      <xdr:row>92</xdr:row>
      <xdr:rowOff>57150</xdr:rowOff>
    </xdr:to>
    <xdr:pic>
      <xdr:nvPicPr>
        <xdr:cNvPr id="9" name="Image 8" descr="OLIDA PARIS 1855 a 1991.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6859250"/>
          <a:ext cx="4733925" cy="3457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75</xdr:row>
      <xdr:rowOff>0</xdr:rowOff>
    </xdr:from>
    <xdr:to>
      <xdr:col>14</xdr:col>
      <xdr:colOff>476250</xdr:colOff>
      <xdr:row>91</xdr:row>
      <xdr:rowOff>190500</xdr:rowOff>
    </xdr:to>
    <xdr:pic>
      <xdr:nvPicPr>
        <xdr:cNvPr id="11" name="Image 10" descr="OLIDA 1855 à 1991.jpg"/>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34000" y="16859250"/>
          <a:ext cx="5810250" cy="339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3</xdr:col>
      <xdr:colOff>415290</xdr:colOff>
      <xdr:row>26</xdr:row>
      <xdr:rowOff>152400</xdr:rowOff>
    </xdr:from>
    <xdr:to>
      <xdr:col>6</xdr:col>
      <xdr:colOff>409585</xdr:colOff>
      <xdr:row>31</xdr:row>
      <xdr:rowOff>53340</xdr:rowOff>
    </xdr:to>
    <xdr:sp macro="" textlink="">
      <xdr:nvSpPr>
        <xdr:cNvPr id="2" name="AutoShape 1"/>
        <xdr:cNvSpPr>
          <a:spLocks noChangeArrowheads="1"/>
        </xdr:cNvSpPr>
      </xdr:nvSpPr>
      <xdr:spPr bwMode="auto">
        <a:xfrm>
          <a:off x="5177790" y="5876925"/>
          <a:ext cx="3509020" cy="99631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3</xdr:col>
      <xdr:colOff>542925</xdr:colOff>
      <xdr:row>26</xdr:row>
      <xdr:rowOff>114300</xdr:rowOff>
    </xdr:from>
    <xdr:to>
      <xdr:col>6</xdr:col>
      <xdr:colOff>333375</xdr:colOff>
      <xdr:row>26</xdr:row>
      <xdr:rowOff>114300</xdr:rowOff>
    </xdr:to>
    <xdr:sp macro="" textlink="">
      <xdr:nvSpPr>
        <xdr:cNvPr id="3" name="Line 3"/>
        <xdr:cNvSpPr>
          <a:spLocks noChangeShapeType="1"/>
        </xdr:cNvSpPr>
      </xdr:nvSpPr>
      <xdr:spPr bwMode="auto">
        <a:xfrm>
          <a:off x="5305425" y="5838825"/>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38100</xdr:colOff>
      <xdr:row>24</xdr:row>
      <xdr:rowOff>38100</xdr:rowOff>
    </xdr:from>
    <xdr:to>
      <xdr:col>5</xdr:col>
      <xdr:colOff>847725</xdr:colOff>
      <xdr:row>26</xdr:row>
      <xdr:rowOff>123825</xdr:rowOff>
    </xdr:to>
    <xdr:sp macro="" textlink="">
      <xdr:nvSpPr>
        <xdr:cNvPr id="4" name="Line 4"/>
        <xdr:cNvSpPr>
          <a:spLocks noChangeShapeType="1"/>
        </xdr:cNvSpPr>
      </xdr:nvSpPr>
      <xdr:spPr bwMode="auto">
        <a:xfrm flipV="1">
          <a:off x="7143750" y="5324475"/>
          <a:ext cx="809625" cy="523875"/>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177165</xdr:colOff>
      <xdr:row>1</xdr:row>
      <xdr:rowOff>53340</xdr:rowOff>
    </xdr:from>
    <xdr:to>
      <xdr:col>6</xdr:col>
      <xdr:colOff>741088</xdr:colOff>
      <xdr:row>3</xdr:row>
      <xdr:rowOff>124968</xdr:rowOff>
    </xdr:to>
    <xdr:sp macro="" textlink="">
      <xdr:nvSpPr>
        <xdr:cNvPr id="5" name="Bulle ronde 4"/>
        <xdr:cNvSpPr/>
      </xdr:nvSpPr>
      <xdr:spPr bwMode="auto">
        <a:xfrm>
          <a:off x="7282815" y="300990"/>
          <a:ext cx="1735498" cy="509778"/>
        </a:xfrm>
        <a:prstGeom prst="wedgeEllipseCallout">
          <a:avLst>
            <a:gd name="adj1" fmla="val -66373"/>
            <a:gd name="adj2" fmla="val 4617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 le poids de fabrication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424815</xdr:colOff>
      <xdr:row>26</xdr:row>
      <xdr:rowOff>152400</xdr:rowOff>
    </xdr:from>
    <xdr:to>
      <xdr:col>6</xdr:col>
      <xdr:colOff>409575</xdr:colOff>
      <xdr:row>31</xdr:row>
      <xdr:rowOff>53340</xdr:rowOff>
    </xdr:to>
    <xdr:sp macro="" textlink="">
      <xdr:nvSpPr>
        <xdr:cNvPr id="2" name="AutoShape 1"/>
        <xdr:cNvSpPr>
          <a:spLocks noChangeArrowheads="1"/>
        </xdr:cNvSpPr>
      </xdr:nvSpPr>
      <xdr:spPr bwMode="auto">
        <a:xfrm>
          <a:off x="5415915" y="5657850"/>
          <a:ext cx="3756660" cy="94869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3</xdr:col>
      <xdr:colOff>628650</xdr:colOff>
      <xdr:row>26</xdr:row>
      <xdr:rowOff>95250</xdr:rowOff>
    </xdr:from>
    <xdr:to>
      <xdr:col>6</xdr:col>
      <xdr:colOff>419100</xdr:colOff>
      <xdr:row>26</xdr:row>
      <xdr:rowOff>95250</xdr:rowOff>
    </xdr:to>
    <xdr:sp macro="" textlink="">
      <xdr:nvSpPr>
        <xdr:cNvPr id="3" name="Line 2"/>
        <xdr:cNvSpPr>
          <a:spLocks noChangeShapeType="1"/>
        </xdr:cNvSpPr>
      </xdr:nvSpPr>
      <xdr:spPr bwMode="auto">
        <a:xfrm>
          <a:off x="5619750" y="5600700"/>
          <a:ext cx="3562350"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23</xdr:row>
      <xdr:rowOff>142875</xdr:rowOff>
    </xdr:from>
    <xdr:to>
      <xdr:col>5</xdr:col>
      <xdr:colOff>1219200</xdr:colOff>
      <xdr:row>26</xdr:row>
      <xdr:rowOff>28575</xdr:rowOff>
    </xdr:to>
    <xdr:sp macro="" textlink="">
      <xdr:nvSpPr>
        <xdr:cNvPr id="4" name="Line 3"/>
        <xdr:cNvSpPr>
          <a:spLocks noChangeShapeType="1"/>
        </xdr:cNvSpPr>
      </xdr:nvSpPr>
      <xdr:spPr bwMode="auto">
        <a:xfrm flipV="1">
          <a:off x="7524750" y="5019675"/>
          <a:ext cx="1200150" cy="5143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116205</xdr:colOff>
      <xdr:row>1</xdr:row>
      <xdr:rowOff>7620</xdr:rowOff>
    </xdr:from>
    <xdr:to>
      <xdr:col>6</xdr:col>
      <xdr:colOff>642027</xdr:colOff>
      <xdr:row>3</xdr:row>
      <xdr:rowOff>193548</xdr:rowOff>
    </xdr:to>
    <xdr:sp macro="" textlink="">
      <xdr:nvSpPr>
        <xdr:cNvPr id="5" name="Bulle ronde 4"/>
        <xdr:cNvSpPr/>
      </xdr:nvSpPr>
      <xdr:spPr bwMode="auto">
        <a:xfrm>
          <a:off x="7621905" y="274320"/>
          <a:ext cx="1783122" cy="605028"/>
        </a:xfrm>
        <a:prstGeom prst="wedgeEllipseCallout">
          <a:avLst>
            <a:gd name="adj1" fmla="val -65787"/>
            <a:gd name="adj2" fmla="val 32649"/>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a:t>
          </a:r>
          <a:r>
            <a:rPr lang="fr-FR" sz="1100" baseline="0">
              <a:solidFill>
                <a:srgbClr val="FF0000"/>
              </a:solidFill>
            </a:rPr>
            <a:t> le poids de fabrication</a:t>
          </a:r>
          <a:endParaRPr lang="fr-FR" sz="1100">
            <a:solidFill>
              <a:srgbClr val="FF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415290</xdr:colOff>
      <xdr:row>25</xdr:row>
      <xdr:rowOff>152400</xdr:rowOff>
    </xdr:from>
    <xdr:to>
      <xdr:col>6</xdr:col>
      <xdr:colOff>409585</xdr:colOff>
      <xdr:row>30</xdr:row>
      <xdr:rowOff>53340</xdr:rowOff>
    </xdr:to>
    <xdr:sp macro="" textlink="">
      <xdr:nvSpPr>
        <xdr:cNvPr id="2" name="AutoShape 1"/>
        <xdr:cNvSpPr>
          <a:spLocks noChangeArrowheads="1"/>
        </xdr:cNvSpPr>
      </xdr:nvSpPr>
      <xdr:spPr bwMode="auto">
        <a:xfrm>
          <a:off x="5187315" y="5419725"/>
          <a:ext cx="3509020" cy="948690"/>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eau de cuisson à 82°c</a:t>
          </a:r>
        </a:p>
      </xdr:txBody>
    </xdr:sp>
    <xdr:clientData/>
  </xdr:twoCellAnchor>
  <xdr:twoCellAnchor>
    <xdr:from>
      <xdr:col>3</xdr:col>
      <xdr:colOff>485775</xdr:colOff>
      <xdr:row>25</xdr:row>
      <xdr:rowOff>114300</xdr:rowOff>
    </xdr:from>
    <xdr:to>
      <xdr:col>6</xdr:col>
      <xdr:colOff>276225</xdr:colOff>
      <xdr:row>25</xdr:row>
      <xdr:rowOff>114300</xdr:rowOff>
    </xdr:to>
    <xdr:sp macro="" textlink="">
      <xdr:nvSpPr>
        <xdr:cNvPr id="3" name="Line 2"/>
        <xdr:cNvSpPr>
          <a:spLocks noChangeShapeType="1"/>
        </xdr:cNvSpPr>
      </xdr:nvSpPr>
      <xdr:spPr bwMode="auto">
        <a:xfrm>
          <a:off x="5257800" y="5381625"/>
          <a:ext cx="3305175" cy="0"/>
        </a:xfrm>
        <a:prstGeom prst="line">
          <a:avLst/>
        </a:prstGeom>
        <a:noFill/>
        <a:ln w="2857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66675</xdr:colOff>
      <xdr:row>24</xdr:row>
      <xdr:rowOff>171450</xdr:rowOff>
    </xdr:from>
    <xdr:to>
      <xdr:col>6</xdr:col>
      <xdr:colOff>238125</xdr:colOff>
      <xdr:row>25</xdr:row>
      <xdr:rowOff>57150</xdr:rowOff>
    </xdr:to>
    <xdr:sp macro="" textlink="">
      <xdr:nvSpPr>
        <xdr:cNvPr id="4" name="Line 3"/>
        <xdr:cNvSpPr>
          <a:spLocks noChangeShapeType="1"/>
        </xdr:cNvSpPr>
      </xdr:nvSpPr>
      <xdr:spPr bwMode="auto">
        <a:xfrm flipV="1">
          <a:off x="7181850" y="5229225"/>
          <a:ext cx="1343025" cy="95250"/>
        </a:xfrm>
        <a:prstGeom prst="line">
          <a:avLst/>
        </a:prstGeom>
        <a:noFill/>
        <a:ln w="9525">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377190</xdr:colOff>
      <xdr:row>1</xdr:row>
      <xdr:rowOff>68580</xdr:rowOff>
    </xdr:from>
    <xdr:to>
      <xdr:col>6</xdr:col>
      <xdr:colOff>889858</xdr:colOff>
      <xdr:row>3</xdr:row>
      <xdr:rowOff>198120</xdr:rowOff>
    </xdr:to>
    <xdr:sp macro="" textlink="">
      <xdr:nvSpPr>
        <xdr:cNvPr id="5" name="Bulle ronde 4"/>
        <xdr:cNvSpPr/>
      </xdr:nvSpPr>
      <xdr:spPr bwMode="auto">
        <a:xfrm>
          <a:off x="7492365" y="316230"/>
          <a:ext cx="1684243" cy="548640"/>
        </a:xfrm>
        <a:prstGeom prst="wedgeEllipseCallout">
          <a:avLst>
            <a:gd name="adj1" fmla="val -80345"/>
            <a:gd name="adj2" fmla="val 36654"/>
          </a:avLst>
        </a:prstGeom>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FF0000"/>
              </a:solidFill>
            </a:rPr>
            <a:t>Mettre</a:t>
          </a:r>
          <a:r>
            <a:rPr lang="fr-FR" sz="1100" baseline="0">
              <a:solidFill>
                <a:srgbClr val="FF0000"/>
              </a:solidFill>
            </a:rPr>
            <a:t> le poids de fabrication</a:t>
          </a:r>
          <a:endParaRPr lang="fr-FR"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antoni%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e Mariette"/>
      <sheetName val="Feuil1 (3)"/>
      <sheetName val="M.emploi Fantoni"/>
      <sheetName val="Modele Fantoni"/>
      <sheetName val="Curry_de_volaille"/>
      <sheetName val="Curry_de_volaille (2)"/>
      <sheetName val="test"/>
      <sheetName val="OK"/>
      <sheetName val="Contenants"/>
      <sheetName val="Vocabulaire"/>
      <sheetName val="Feuil1"/>
      <sheetName val="Nota"/>
    </sheetNames>
    <sheetDataSet>
      <sheetData sheetId="0">
        <row r="13">
          <cell r="B13" t="str">
            <v>Maigre de volaille</v>
          </cell>
          <cell r="F13">
            <v>6.4839094159713948</v>
          </cell>
        </row>
        <row r="14">
          <cell r="B14" t="str">
            <v>Poitrine de porc extra</v>
          </cell>
          <cell r="F14">
            <v>3.0512514898688914</v>
          </cell>
        </row>
        <row r="15">
          <cell r="B15" t="str">
            <v>Gorge parée</v>
          </cell>
          <cell r="F15">
            <v>3.0512514898688914</v>
          </cell>
        </row>
        <row r="16">
          <cell r="B16" t="str">
            <v>Lait entier 60°C ( aromatisé)</v>
          </cell>
          <cell r="F16">
            <v>5.7210965435041716</v>
          </cell>
        </row>
        <row r="17">
          <cell r="B17" t="str">
            <v>Œufs entiers</v>
          </cell>
          <cell r="F17">
            <v>1.1442193087008343</v>
          </cell>
        </row>
        <row r="18">
          <cell r="B18" t="str">
            <v>Sel fin</v>
          </cell>
          <cell r="F18">
            <v>0.31466030989272942</v>
          </cell>
        </row>
        <row r="19">
          <cell r="B19" t="str">
            <v>Poivre blanc</v>
          </cell>
          <cell r="F19">
            <v>1.9070321811680571E-2</v>
          </cell>
        </row>
        <row r="20">
          <cell r="B20" t="str">
            <v>4 épices</v>
          </cell>
          <cell r="F20">
            <v>1.9070321811680571E-2</v>
          </cell>
        </row>
        <row r="21">
          <cell r="B21" t="str">
            <v>Cognac</v>
          </cell>
          <cell r="F21">
            <v>0.19070321811680571</v>
          </cell>
        </row>
        <row r="22">
          <cell r="B22" t="str">
            <v xml:space="preserve">Eau de fleurs d' oranger </v>
          </cell>
          <cell r="F22">
            <v>4.7675804529201428E-3</v>
          </cell>
        </row>
        <row r="23">
          <cell r="F23">
            <v>0</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audreycuisine.fr/2012/12/boudin-blanc-a-la-truffe-noire/" TargetMode="External"/><Relationship Id="rId13" Type="http://schemas.openxmlformats.org/officeDocument/2006/relationships/printerSettings" Target="../printerSettings/printerSettings1.bin"/><Relationship Id="rId3" Type="http://schemas.openxmlformats.org/officeDocument/2006/relationships/hyperlink" Target="http://allrecipes.fr/recette/16575/faire-du-boudin-blanc-maison.aspx" TargetMode="External"/><Relationship Id="rId7" Type="http://schemas.openxmlformats.org/officeDocument/2006/relationships/hyperlink" Target="http://www.lavoixdunord.fr/93366/article/2016-12-21/pas-pas-la-fabrication-d-un-bon-boudin-blanc-maison" TargetMode="External"/><Relationship Id="rId12" Type="http://schemas.openxmlformats.org/officeDocument/2006/relationships/hyperlink" Target="https://www.google.fr/search?biw=1904&amp;bih=922&amp;tbm=vid&amp;ei=io43WvmsJ8PxUNfAsbgG&amp;q=boudin+blanc+sans+boyau&amp;oq=boudin+blanc+sans+boyau&amp;gs_l=psy-ab.12..0.377489.381446.0.384788.2.2.0.0.0.0.161.264.0j2.2.0....0...1c.1.64.psy-ab..0.2.264....0.ukdRskkHVKs" TargetMode="External"/><Relationship Id="rId2" Type="http://schemas.openxmlformats.org/officeDocument/2006/relationships/hyperlink" Target="http://allrecipes.fr/recette/15076/comment-faire-du-boudin-blanc.aspx" TargetMode="External"/><Relationship Id="rId1" Type="http://schemas.openxmlformats.org/officeDocument/2006/relationships/hyperlink" Target="http://pechedegourmand.canalblog.com/archives/2009/12/09/16063507.html" TargetMode="External"/><Relationship Id="rId6" Type="http://schemas.openxmlformats.org/officeDocument/2006/relationships/hyperlink" Target="http://isabelledenimal.over-blog.com/2016/11/boudins-blancs.html" TargetMode="External"/><Relationship Id="rId11" Type="http://schemas.openxmlformats.org/officeDocument/2006/relationships/hyperlink" Target="http://gourmandesansgluten.blogspot.fr/2014/12/boudin-blanc-maison-sans-gluten.html" TargetMode="External"/><Relationship Id="rId5" Type="http://schemas.openxmlformats.org/officeDocument/2006/relationships/hyperlink" Target="https://www.gites-de-france-nord.fr/sur-mesure/tiens-voila-du-boudin-blanc-recette-a-faire-et-a-refaire.html" TargetMode="External"/><Relationship Id="rId10" Type="http://schemas.openxmlformats.org/officeDocument/2006/relationships/hyperlink" Target="https://recettes.de/boudin-blanc/poulet" TargetMode="External"/><Relationship Id="rId4" Type="http://schemas.openxmlformats.org/officeDocument/2006/relationships/hyperlink" Target="http://www.marieclaire.fr/cuisine/boudin-blanc,1222936.asp" TargetMode="External"/><Relationship Id="rId9" Type="http://schemas.openxmlformats.org/officeDocument/2006/relationships/hyperlink" Target="https://ouiaremakers.com/posts/tutoriel-diy-boudin-blanc"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http://michelmariette.over-blog.fr/"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michelmariette.over-blog.fr/"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http://michelmariette.over-blog.fr/"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michelmariette.over-blog.fr/"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http://michelmariette.over-blog.fr/"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http://michelmariette.over-blog.fr/"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http://michelmariette.over-blog.fr/"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www.cuisinealafrancaise.com/fr/2-poids-et-mesures"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hyperlink" Target="http://www.uprt.fr/mesimages/fichiers-uprt/ff-fiches-fabrication/ff-documents-divers-maj-02-2015/ff-conditionnement.xls" TargetMode="External"/><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printerSettings" Target="../printerSettings/printerSettings17.bin"/><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136" Type="http://schemas.openxmlformats.org/officeDocument/2006/relationships/drawing" Target="../drawings/drawing15.xm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lexpress.fr/styles/saveurs/" TargetMode="External"/><Relationship Id="rId7" Type="http://schemas.openxmlformats.org/officeDocument/2006/relationships/printerSettings" Target="../printerSettings/printerSettings2.bin"/><Relationship Id="rId2" Type="http://schemas.openxmlformats.org/officeDocument/2006/relationships/hyperlink" Target="http://www.mamina.fr/2014/12/boudin-blanc-maison-pour-les-fetes.html" TargetMode="External"/><Relationship Id="rId1" Type="http://schemas.openxmlformats.org/officeDocument/2006/relationships/hyperlink" Target="http://www.cuisinealafrancaise.com/fr/2-poids-et-mesures" TargetMode="External"/><Relationship Id="rId6" Type="http://schemas.openxmlformats.org/officeDocument/2006/relationships/hyperlink" Target="https://www.academiedugout.fr/recettes/boudin-blanc-maison_9793_2" TargetMode="External"/><Relationship Id="rId5" Type="http://schemas.openxmlformats.org/officeDocument/2006/relationships/hyperlink" Target="http://www.mamina.fr/2014/12/boudin-blanc-maison-pour-les-fetes.html" TargetMode="External"/><Relationship Id="rId4" Type="http://schemas.openxmlformats.org/officeDocument/2006/relationships/hyperlink" Target="http://www.canalblog.com/directory/Cuisine%20et%20Gastronomie/"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portal.health.fgov.be/pls/portal/docs/PAGE/INTERNET_PG/HOMEPAGE_MENU/ABOUTUS1_MENU/INSTITUTIONSAPPARENTEES1_MENU/HOGEGEZONDHEIDSRAAD1_MENU/ADVIEZENENAANBEVELINGEN1_MENU/ADVIEZENENAANBEVELINGEN1_DOCS/6545-2_POIDSETMESURES_FR_2005_2.PDF" TargetMode="External"/><Relationship Id="rId3" Type="http://schemas.openxmlformats.org/officeDocument/2006/relationships/hyperlink" Target="http://www.basesdelacuisine.com/Cadre1/z1/pp80.htm" TargetMode="External"/><Relationship Id="rId7" Type="http://schemas.openxmlformats.org/officeDocument/2006/relationships/hyperlink" Target="https://www.google.fr/webhp?sourceid=chrome-instant&amp;ion=1&amp;espv=2&amp;ie=UTF-8" TargetMode="External"/><Relationship Id="rId12" Type="http://schemas.openxmlformats.org/officeDocument/2006/relationships/printerSettings" Target="../printerSettings/printerSettings19.bin"/><Relationship Id="rId2" Type="http://schemas.openxmlformats.org/officeDocument/2006/relationships/hyperlink" Target="https://www.nubel.be/fra/default.aspx" TargetMode="External"/><Relationship Id="rId1" Type="http://schemas.openxmlformats.org/officeDocument/2006/relationships/hyperlink" Target="http://www.nubel.be/fra/manual/liste_des_denrees_alimentaires.asp" TargetMode="External"/><Relationship Id="rId6" Type="http://schemas.openxmlformats.org/officeDocument/2006/relationships/hyperlink" Target="http://dmcwilshim.canalblog.com/archives/2009/01/18/12131475.html" TargetMode="External"/><Relationship Id="rId11" Type="http://schemas.openxmlformats.org/officeDocument/2006/relationships/hyperlink" Target="https://www.lanutrition.fr/bien-dans-son-assiette/bien-manger/les-recommandations-de-lanutrition.fr/une-portion-cest-combien-" TargetMode="External"/><Relationship Id="rId5" Type="http://schemas.openxmlformats.org/officeDocument/2006/relationships/hyperlink" Target="http://etab.ac-poitiers.fr/lycee-hotelier-la-rochelle/IMG/pdf/Grammage_4.pdf" TargetMode="External"/><Relationship Id="rId10" Type="http://schemas.openxmlformats.org/officeDocument/2006/relationships/hyperlink" Target="http://www.astro.ulg.ac.be/cours/magain/stat/stat52.html" TargetMode="External"/><Relationship Id="rId4" Type="http://schemas.openxmlformats.org/officeDocument/2006/relationships/hyperlink" Target="http://lahalledepessac.com/content/14-fruits-et-legumes-frais-poids-moyen-d-une-piece" TargetMode="External"/><Relationship Id="rId9" Type="http://schemas.openxmlformats.org/officeDocument/2006/relationships/hyperlink" Target="http://www.aliments.org/poids.ht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hyperlink" Target="https://www.google.fr/webhp?sourceid=chrome-instant&amp;ion=1&amp;espv=2&amp;ie=UTF-8" TargetMode="External"/></Relationships>
</file>

<file path=xl/worksheets/_rels/sheet25.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www.educonline.net/spip/IMG/pdf/densite_MasseVolumique.pdf" TargetMode="External"/><Relationship Id="rId7" Type="http://schemas.openxmlformats.org/officeDocument/2006/relationships/printerSettings" Target="../printerSettings/printerSettings23.bin"/><Relationship Id="rId2" Type="http://schemas.openxmlformats.org/officeDocument/2006/relationships/hyperlink" Target="https://www.google.fr/search?q=piffom%C3%A9trie&amp;ie=utf-8&amp;oe=utf-8&amp;client=firefox-b&amp;gfe_rd=cr&amp;dcr=0&amp;ei=yYrYWZrKMYfAaMTIipgK" TargetMode="External"/><Relationship Id="rId1" Type="http://schemas.openxmlformats.org/officeDocument/2006/relationships/hyperlink" Target="https://www.google.fr/search?q=piffom%C3%A9trie&amp;ie=utf-8&amp;oe=utf-8&amp;client=firefox-b&amp;gfe_rd=cr&amp;dcr=0&amp;ei=yYrYWZrKMYfAaMTIipgK" TargetMode="External"/><Relationship Id="rId6" Type="http://schemas.openxmlformats.org/officeDocument/2006/relationships/hyperlink" Target="http://www.diet-life.fr/visuellement-100-calories/" TargetMode="External"/><Relationship Id="rId5" Type="http://schemas.openxmlformats.org/officeDocument/2006/relationships/hyperlink" Target="http://www.uprt.fr/mesimages/fichiers-uprt/hop-alimentation/hop-photos-quantit%C3%A9s.pdf" TargetMode="External"/><Relationship Id="rId4" Type="http://schemas.openxmlformats.org/officeDocument/2006/relationships/hyperlink" Target="https://www.google.fr/search?q=Pourcentage+de+perte+des+fruits+et+des+l%C3%A9gumes&amp;ie=utf-8&amp;oe=utf-8&amp;client=firefox-b&amp;gfe_rd=cr&amp;dcr=0&amp;ei=E1QpWvX-D-7S8AewgISIBQ"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7" Type="http://schemas.openxmlformats.org/officeDocument/2006/relationships/drawing" Target="../drawings/drawing2.xm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6" Type="http://schemas.openxmlformats.org/officeDocument/2006/relationships/printerSettings" Target="../printerSettings/printerSettings3.bin"/><Relationship Id="rId5" Type="http://schemas.openxmlformats.org/officeDocument/2006/relationships/hyperlink" Target="http://www.lecochonetleboeuf.fr/modules/photo/dossier/boudin_blanc/boudin_blanc.pdf" TargetMode="External"/><Relationship Id="rId4" Type="http://schemas.openxmlformats.org/officeDocument/2006/relationships/hyperlink" Target="http://www.lecochonetleboeuf.fr/accueil.html"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eb04.univ-lorraine.fr/ENSAIA/marie/" TargetMode="External"/><Relationship Id="rId2" Type="http://schemas.openxmlformats.org/officeDocument/2006/relationships/hyperlink" Target="http://web04.univ-lorraine.fr/ENSAIA/marie/web/ntic/pages/2008/fugnan.html" TargetMode="External"/><Relationship Id="rId1" Type="http://schemas.openxmlformats.org/officeDocument/2006/relationships/hyperlink" Target="http://www.cuisinealafrancaise.com/fr/2-poids-et-mesures" TargetMode="External"/><Relationship Id="rId6" Type="http://schemas.openxmlformats.org/officeDocument/2006/relationships/printerSettings" Target="../printerSettings/printerSettings4.bin"/><Relationship Id="rId5" Type="http://schemas.openxmlformats.org/officeDocument/2006/relationships/hyperlink" Target="http://web04.univ-lorraine.fr/ENSAIA/marie/web/ntic/pages/2008/fugnan.html" TargetMode="External"/><Relationship Id="rId4" Type="http://schemas.openxmlformats.org/officeDocument/2006/relationships/hyperlink" Target="http://www.cuisinealafrancaise.com/fr/2-poids-et-mesur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auxjardinsdamelie.blogspot.fr/" TargetMode="External"/><Relationship Id="rId1" Type="http://schemas.openxmlformats.org/officeDocument/2006/relationships/hyperlink" Target="https://latabledamelie.blogspot.fr/2008/01/boudin-blanc-maison.html" TargetMode="Externa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www.ceproc.com/media/uploads/innovation-publication-du-pole/lettre_14_boudin_blanc.pdf" TargetMode="External"/><Relationship Id="rId7" Type="http://schemas.openxmlformats.org/officeDocument/2006/relationships/hyperlink" Target="http://www.bleucitronvo.fr/newsletter5/images/CeprocSavoirFaire16Interactif.pdf"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6" Type="http://schemas.openxmlformats.org/officeDocument/2006/relationships/hyperlink" Target="https://www.ceproc.com/fr/ceproc/galerie-videos/" TargetMode="External"/><Relationship Id="rId5" Type="http://schemas.openxmlformats.org/officeDocument/2006/relationships/hyperlink" Target="https://www.facebook.com/pg/CeprocParisFrance/about/" TargetMode="External"/><Relationship Id="rId4" Type="http://schemas.openxmlformats.org/officeDocument/2006/relationships/hyperlink" Target="https://www.ceproc.com/media/uploads/innovation-publication-du-pole/lettre_14_boudin_blanc.pdf" TargetMode="External"/><Relationship Id="rId9"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hyperlink" Target="http://michelmariette.over-blog.fr/" TargetMode="External"/><Relationship Id="rId2" Type="http://schemas.openxmlformats.org/officeDocument/2006/relationships/hyperlink" Target="http://www.diet-life.fr/visuellement-100-calories/" TargetMode="External"/><Relationship Id="rId1" Type="http://schemas.openxmlformats.org/officeDocument/2006/relationships/hyperlink" Target="http://www.uprt.fr/mesimages/fichiers-uprt/hop-alimentation/hop-photos-quantit%C3%A9s.pdf" TargetMode="External"/><Relationship Id="rId5" Type="http://schemas.openxmlformats.org/officeDocument/2006/relationships/drawing" Target="../drawings/drawing4.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michelmariette.over-blog.fr/" TargetMode="External"/><Relationship Id="rId1" Type="http://schemas.openxmlformats.org/officeDocument/2006/relationships/hyperlink" Target="http://michelmariette.over-blog.fr/"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hyperlink" Target="http://michelmariette.over-blog.fr/2016/12/gpao-salaison.html" TargetMode="External"/><Relationship Id="rId7" Type="http://schemas.openxmlformats.org/officeDocument/2006/relationships/hyperlink" Target="http://michelmariette.over-blog.fr/page/2" TargetMode="External"/><Relationship Id="rId2" Type="http://schemas.openxmlformats.org/officeDocument/2006/relationships/hyperlink" Target="http://michelmariette.over-blog.fr/contact" TargetMode="External"/><Relationship Id="rId1" Type="http://schemas.openxmlformats.org/officeDocument/2006/relationships/hyperlink" Target="http://michelmariette.over-blog.fr/" TargetMode="External"/><Relationship Id="rId6" Type="http://schemas.openxmlformats.org/officeDocument/2006/relationships/hyperlink" Target="http://michelmariette.over-blog.fr/article-gpao-de-la-salaison-40710259.html" TargetMode="External"/><Relationship Id="rId5" Type="http://schemas.openxmlformats.org/officeDocument/2006/relationships/hyperlink" Target="http://michelmariette.over-blog.fr/article-gpao-de-la-salaison-40710259.html" TargetMode="External"/><Relationship Id="rId4" Type="http://schemas.openxmlformats.org/officeDocument/2006/relationships/hyperlink" Target="https://www.google.fr/imgres?imgurl=http%3A%2F%2Fimg.over-blog-kiwi.com%2F0%2F66%2F94%2F37%2F201307%2Fob_538b28_1990-illkiirch-graffenstaden.jpg&amp;imgrefurl=http%3A%2F%2Fmichelmariette.over-blog.fr%2Farticle-gpao-de-la-salaison-40710259.html&amp;docid=n386JfQb6" TargetMode="External"/><Relationship Id="rId9"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3"/>
  <sheetViews>
    <sheetView tabSelected="1" zoomScale="80" zoomScaleNormal="80" workbookViewId="0">
      <selection activeCell="Y25" sqref="Y25"/>
    </sheetView>
  </sheetViews>
  <sheetFormatPr baseColWidth="10" defaultRowHeight="15"/>
  <cols>
    <col min="1" max="1" width="2.28515625" customWidth="1"/>
  </cols>
  <sheetData>
    <row r="1" spans="2:17">
      <c r="B1" s="46"/>
      <c r="C1" s="46"/>
      <c r="D1" s="46"/>
      <c r="E1" s="46"/>
      <c r="F1" s="46"/>
      <c r="G1" s="46"/>
      <c r="H1" s="46"/>
      <c r="I1" s="46"/>
      <c r="J1" s="46"/>
      <c r="K1" s="46"/>
      <c r="L1" s="46"/>
      <c r="M1" s="46"/>
      <c r="N1" s="46"/>
      <c r="O1" s="46"/>
      <c r="P1" s="46"/>
      <c r="Q1" s="46"/>
    </row>
    <row r="2" spans="2:17" ht="23.25">
      <c r="B2" s="2362" t="s">
        <v>2207</v>
      </c>
      <c r="C2" s="2362"/>
      <c r="D2" s="2362"/>
      <c r="E2" s="2362"/>
      <c r="F2" s="2362"/>
      <c r="G2" s="2362"/>
      <c r="H2" s="2362"/>
      <c r="I2" s="2362"/>
      <c r="J2" s="2362"/>
      <c r="K2" s="2362"/>
      <c r="L2" s="2362"/>
      <c r="M2" s="2362"/>
      <c r="N2" s="2362"/>
      <c r="O2" s="2362"/>
      <c r="P2" s="2362"/>
      <c r="Q2" s="2362"/>
    </row>
    <row r="3" spans="2:17" ht="9.9499999999999993" customHeight="1">
      <c r="B3" s="1947"/>
      <c r="C3" s="1947"/>
      <c r="D3" s="1947"/>
      <c r="E3" s="1947"/>
      <c r="F3" s="1947"/>
      <c r="G3" s="1947"/>
      <c r="H3" s="1947"/>
      <c r="I3" s="1947"/>
      <c r="J3" s="1947"/>
      <c r="K3" s="1947"/>
      <c r="L3" s="1947"/>
      <c r="M3" s="1947"/>
      <c r="N3" s="1947"/>
      <c r="O3" s="1947"/>
      <c r="P3" s="1947"/>
      <c r="Q3" s="1947"/>
    </row>
    <row r="4" spans="2:17" ht="23.25">
      <c r="B4" s="2362" t="s">
        <v>2208</v>
      </c>
      <c r="C4" s="2362"/>
      <c r="D4" s="2362"/>
      <c r="E4" s="2362"/>
      <c r="F4" s="2362"/>
      <c r="G4" s="2362"/>
      <c r="H4" s="2362"/>
      <c r="I4" s="2362"/>
      <c r="J4" s="2362"/>
      <c r="K4" s="2362"/>
      <c r="L4" s="2362"/>
      <c r="M4" s="2362"/>
      <c r="N4" s="2362"/>
      <c r="O4" s="2362"/>
      <c r="P4" s="2362"/>
      <c r="Q4" s="2362"/>
    </row>
    <row r="5" spans="2:17" ht="9.9499999999999993" customHeight="1">
      <c r="B5" s="1947"/>
      <c r="C5" s="1947"/>
      <c r="D5" s="1947"/>
      <c r="E5" s="1947"/>
      <c r="F5" s="1947"/>
      <c r="G5" s="1947"/>
      <c r="H5" s="1947"/>
      <c r="I5" s="1947"/>
      <c r="J5" s="1947"/>
      <c r="K5" s="1947"/>
      <c r="L5" s="1947"/>
      <c r="M5" s="1947"/>
      <c r="N5" s="1947"/>
      <c r="O5" s="1947"/>
      <c r="P5" s="1947"/>
      <c r="Q5" s="1947"/>
    </row>
    <row r="6" spans="2:17" ht="23.25">
      <c r="B6" s="2362" t="s">
        <v>2209</v>
      </c>
      <c r="C6" s="2362"/>
      <c r="D6" s="2362"/>
      <c r="E6" s="2362"/>
      <c r="F6" s="2362"/>
      <c r="G6" s="2362"/>
      <c r="H6" s="2362"/>
      <c r="I6" s="2362"/>
      <c r="J6" s="2362"/>
      <c r="K6" s="2362"/>
      <c r="L6" s="2362"/>
      <c r="M6" s="2362"/>
      <c r="N6" s="2362"/>
      <c r="O6" s="2362"/>
      <c r="P6" s="2362"/>
      <c r="Q6" s="2362"/>
    </row>
    <row r="7" spans="2:17" ht="9.9499999999999993" customHeight="1">
      <c r="B7" s="1947"/>
      <c r="C7" s="1947"/>
      <c r="D7" s="1947"/>
      <c r="E7" s="1947"/>
      <c r="F7" s="1947"/>
      <c r="G7" s="1947"/>
      <c r="H7" s="1947"/>
      <c r="I7" s="1947"/>
      <c r="J7" s="1947"/>
      <c r="K7" s="1947"/>
      <c r="L7" s="1947"/>
      <c r="M7" s="1947"/>
      <c r="N7" s="1947"/>
      <c r="O7" s="1947"/>
      <c r="P7" s="1947"/>
      <c r="Q7" s="1947"/>
    </row>
    <row r="8" spans="2:17" ht="23.25" customHeight="1">
      <c r="B8" s="2363" t="s">
        <v>2210</v>
      </c>
      <c r="C8" s="2363"/>
      <c r="D8" s="2363"/>
      <c r="E8" s="2363"/>
      <c r="F8" s="2363"/>
      <c r="G8" s="2363"/>
      <c r="H8" s="2363"/>
      <c r="I8" s="2363"/>
      <c r="J8" s="2363"/>
      <c r="K8" s="2363"/>
      <c r="L8" s="2363"/>
      <c r="M8" s="2363"/>
      <c r="N8" s="2363"/>
      <c r="O8" s="2363"/>
      <c r="P8" s="2363"/>
      <c r="Q8" s="2363"/>
    </row>
    <row r="9" spans="2:17" ht="36" customHeight="1">
      <c r="B9" s="2363"/>
      <c r="C9" s="2363"/>
      <c r="D9" s="2363"/>
      <c r="E9" s="2363"/>
      <c r="F9" s="2363"/>
      <c r="G9" s="2363"/>
      <c r="H9" s="2363"/>
      <c r="I9" s="2363"/>
      <c r="J9" s="2363"/>
      <c r="K9" s="2363"/>
      <c r="L9" s="2363"/>
      <c r="M9" s="2363"/>
      <c r="N9" s="2363"/>
      <c r="O9" s="2363"/>
      <c r="P9" s="2363"/>
      <c r="Q9" s="2363"/>
    </row>
    <row r="10" spans="2:17">
      <c r="B10" s="54"/>
      <c r="C10" s="54"/>
      <c r="D10" s="54"/>
      <c r="E10" s="54"/>
      <c r="F10" s="54"/>
      <c r="G10" s="54"/>
      <c r="H10" s="54"/>
      <c r="I10" s="54"/>
      <c r="J10" s="54"/>
      <c r="K10" s="54"/>
      <c r="L10" s="54"/>
      <c r="M10" s="54"/>
      <c r="N10" s="54"/>
      <c r="O10" s="54"/>
      <c r="P10" s="54"/>
      <c r="Q10" s="54"/>
    </row>
    <row r="11" spans="2:17" ht="23.25" customHeight="1">
      <c r="B11" s="2364" t="s">
        <v>2285</v>
      </c>
      <c r="C11" s="2364"/>
      <c r="D11" s="2364"/>
      <c r="E11" s="2364"/>
      <c r="F11" s="2364"/>
      <c r="G11" s="2364"/>
      <c r="H11" s="2364"/>
      <c r="I11" s="2364"/>
      <c r="J11" s="2364"/>
      <c r="K11" s="2364"/>
      <c r="L11" s="2364"/>
      <c r="M11" s="2364"/>
      <c r="N11" s="2364"/>
      <c r="O11" s="2364"/>
      <c r="P11" s="2364"/>
      <c r="Q11" s="2364"/>
    </row>
    <row r="12" spans="2:17" ht="27" customHeight="1">
      <c r="B12" s="2364"/>
      <c r="C12" s="2364"/>
      <c r="D12" s="2364"/>
      <c r="E12" s="2364"/>
      <c r="F12" s="2364"/>
      <c r="G12" s="2364"/>
      <c r="H12" s="2364"/>
      <c r="I12" s="2364"/>
      <c r="J12" s="2364"/>
      <c r="K12" s="2364"/>
      <c r="L12" s="2364"/>
      <c r="M12" s="2364"/>
      <c r="N12" s="2364"/>
      <c r="O12" s="2364"/>
      <c r="P12" s="2364"/>
      <c r="Q12" s="2364"/>
    </row>
    <row r="13" spans="2:17" ht="27" customHeight="1">
      <c r="B13" s="2364" t="s">
        <v>2286</v>
      </c>
      <c r="C13" s="2364"/>
      <c r="D13" s="2364"/>
      <c r="E13" s="2364"/>
      <c r="F13" s="2364"/>
      <c r="G13" s="2364"/>
      <c r="H13" s="2364"/>
      <c r="I13" s="2364"/>
      <c r="J13" s="2364"/>
      <c r="K13" s="2364"/>
      <c r="L13" s="2364"/>
      <c r="M13" s="2364"/>
      <c r="N13" s="2364"/>
      <c r="O13" s="2364"/>
      <c r="P13" s="2364"/>
      <c r="Q13" s="2364"/>
    </row>
    <row r="14" spans="2:17" ht="27" customHeight="1">
      <c r="B14" s="2364"/>
      <c r="C14" s="2364"/>
      <c r="D14" s="2364"/>
      <c r="E14" s="2364"/>
      <c r="F14" s="2364"/>
      <c r="G14" s="2364"/>
      <c r="H14" s="2364"/>
      <c r="I14" s="2364"/>
      <c r="J14" s="2364"/>
      <c r="K14" s="2364"/>
      <c r="L14" s="2364"/>
      <c r="M14" s="2364"/>
      <c r="N14" s="2364"/>
      <c r="O14" s="2364"/>
      <c r="P14" s="2364"/>
      <c r="Q14" s="2364"/>
    </row>
    <row r="15" spans="2:17" ht="27" customHeight="1">
      <c r="B15" s="2364" t="s">
        <v>2572</v>
      </c>
      <c r="C15" s="2364"/>
      <c r="D15" s="2364"/>
      <c r="E15" s="2364"/>
      <c r="F15" s="2364"/>
      <c r="G15" s="2364"/>
      <c r="H15" s="2364"/>
      <c r="I15" s="2364"/>
      <c r="J15" s="2364"/>
      <c r="K15" s="2364"/>
      <c r="L15" s="2364"/>
      <c r="M15" s="2364"/>
      <c r="N15" s="2364"/>
      <c r="O15" s="2364"/>
      <c r="P15" s="2364"/>
      <c r="Q15" s="2364"/>
    </row>
    <row r="16" spans="2:17" ht="27" customHeight="1">
      <c r="B16" s="2364"/>
      <c r="C16" s="2364"/>
      <c r="D16" s="2364"/>
      <c r="E16" s="2364"/>
      <c r="F16" s="2364"/>
      <c r="G16" s="2364"/>
      <c r="H16" s="2364"/>
      <c r="I16" s="2364"/>
      <c r="J16" s="2364"/>
      <c r="K16" s="2364"/>
      <c r="L16" s="2364"/>
      <c r="M16" s="2364"/>
      <c r="N16" s="2364"/>
      <c r="O16" s="2364"/>
      <c r="P16" s="2364"/>
      <c r="Q16" s="2364"/>
    </row>
    <row r="17" spans="2:17" ht="24" customHeight="1">
      <c r="B17" s="3622" t="s">
        <v>2287</v>
      </c>
      <c r="C17" s="3622"/>
      <c r="D17" s="3622"/>
      <c r="E17" s="3622"/>
      <c r="F17" s="3622"/>
      <c r="G17" s="3622"/>
      <c r="H17" s="3622"/>
      <c r="I17" s="3622"/>
      <c r="J17" s="3622"/>
      <c r="K17" s="3622"/>
      <c r="L17" s="3622"/>
      <c r="M17" s="3622"/>
      <c r="N17" s="3622"/>
      <c r="O17" s="3622"/>
      <c r="P17" s="3622"/>
      <c r="Q17" s="3622"/>
    </row>
    <row r="18" spans="2:17" ht="27" customHeight="1">
      <c r="B18" s="3621"/>
      <c r="C18" s="3621"/>
      <c r="D18" s="3621"/>
      <c r="E18" s="3621"/>
      <c r="F18" s="3621"/>
      <c r="G18" s="3621"/>
      <c r="H18" s="3621"/>
      <c r="I18" s="3621"/>
      <c r="J18" s="3621"/>
      <c r="K18" s="3621"/>
      <c r="L18" s="3621"/>
      <c r="M18" s="3621"/>
      <c r="N18" s="3621"/>
      <c r="O18" s="3621"/>
      <c r="P18" s="3621"/>
      <c r="Q18" s="3621"/>
    </row>
    <row r="19" spans="2:17" ht="27" customHeight="1">
      <c r="B19" s="2364" t="s">
        <v>2288</v>
      </c>
      <c r="C19" s="2364"/>
      <c r="D19" s="2364"/>
      <c r="E19" s="2364"/>
      <c r="F19" s="2364"/>
      <c r="G19" s="2364"/>
      <c r="H19" s="2364"/>
      <c r="I19" s="2364"/>
      <c r="J19" s="2364"/>
      <c r="K19" s="2364"/>
      <c r="L19" s="2364"/>
      <c r="M19" s="2364"/>
      <c r="N19" s="2364"/>
      <c r="O19" s="2364"/>
      <c r="P19" s="2364"/>
      <c r="Q19" s="2364"/>
    </row>
    <row r="20" spans="2:17">
      <c r="B20" s="2364"/>
      <c r="C20" s="2364"/>
      <c r="D20" s="2364"/>
      <c r="E20" s="2364"/>
      <c r="F20" s="2364"/>
      <c r="G20" s="2364"/>
      <c r="H20" s="2364"/>
      <c r="I20" s="2364"/>
      <c r="J20" s="2364"/>
      <c r="K20" s="2364"/>
      <c r="L20" s="2364"/>
      <c r="M20" s="2364"/>
      <c r="N20" s="2364"/>
      <c r="O20" s="2364"/>
      <c r="P20" s="2364"/>
      <c r="Q20" s="2364"/>
    </row>
    <row r="21" spans="2:17" ht="15" customHeight="1">
      <c r="B21" s="2364" t="s">
        <v>2289</v>
      </c>
      <c r="C21" s="2364"/>
      <c r="D21" s="2364"/>
      <c r="E21" s="2364"/>
      <c r="F21" s="2364"/>
      <c r="G21" s="2364"/>
      <c r="H21" s="2364"/>
      <c r="I21" s="2364"/>
      <c r="J21" s="2364"/>
      <c r="K21" s="2364"/>
      <c r="L21" s="2364"/>
      <c r="M21" s="2364"/>
      <c r="N21" s="2364"/>
      <c r="O21" s="2364"/>
      <c r="P21" s="2364"/>
      <c r="Q21" s="2364"/>
    </row>
    <row r="22" spans="2:17" ht="36" customHeight="1">
      <c r="B22" s="2364"/>
      <c r="C22" s="2364"/>
      <c r="D22" s="2364"/>
      <c r="E22" s="2364"/>
      <c r="F22" s="2364"/>
      <c r="G22" s="2364"/>
      <c r="H22" s="2364"/>
      <c r="I22" s="2364"/>
      <c r="J22" s="2364"/>
      <c r="K22" s="2364"/>
      <c r="L22" s="2364"/>
      <c r="M22" s="2364"/>
      <c r="N22" s="2364"/>
      <c r="O22" s="2364"/>
      <c r="P22" s="2364"/>
      <c r="Q22" s="2364"/>
    </row>
    <row r="23" spans="2:17">
      <c r="B23" s="54"/>
      <c r="C23" s="54"/>
      <c r="D23" s="54"/>
      <c r="E23" s="54"/>
      <c r="F23" s="54"/>
      <c r="G23" s="54"/>
      <c r="H23" s="54"/>
      <c r="I23" s="54"/>
      <c r="J23" s="54"/>
      <c r="K23" s="54"/>
      <c r="L23" s="54"/>
      <c r="M23" s="54"/>
      <c r="N23" s="54"/>
      <c r="O23" s="54"/>
      <c r="P23" s="54"/>
      <c r="Q23" s="54"/>
    </row>
    <row r="24" spans="2:17">
      <c r="B24" s="54"/>
      <c r="C24" s="54"/>
      <c r="D24" s="54"/>
      <c r="E24" s="54"/>
      <c r="F24" s="54"/>
      <c r="G24" s="54"/>
      <c r="H24" s="54"/>
      <c r="I24" s="54"/>
      <c r="J24" s="54"/>
      <c r="K24" s="54"/>
      <c r="L24" s="54"/>
      <c r="M24" s="54"/>
      <c r="N24" s="54"/>
      <c r="O24" s="54"/>
      <c r="P24" s="54"/>
      <c r="Q24" s="54"/>
    </row>
    <row r="25" spans="2:17" ht="47.25" customHeight="1">
      <c r="B25" s="2360" t="s">
        <v>2269</v>
      </c>
      <c r="C25" s="2361"/>
      <c r="D25" s="2361"/>
      <c r="E25" s="2361"/>
      <c r="F25" s="2361"/>
      <c r="G25" s="2361"/>
      <c r="H25" s="2361"/>
      <c r="I25" s="2361"/>
      <c r="J25" s="2361"/>
      <c r="K25" s="2361"/>
      <c r="L25" s="2361"/>
      <c r="M25" s="2361"/>
      <c r="N25" s="2361"/>
      <c r="O25" s="2361"/>
      <c r="P25" s="2361"/>
      <c r="Q25" s="2361"/>
    </row>
    <row r="26" spans="2:17">
      <c r="B26" s="54"/>
      <c r="C26" s="54"/>
      <c r="D26" s="54"/>
      <c r="E26" s="54"/>
      <c r="F26" s="54"/>
      <c r="G26" s="54"/>
      <c r="H26" s="54"/>
      <c r="I26" s="54"/>
      <c r="J26" s="54"/>
      <c r="K26" s="54"/>
      <c r="L26" s="54"/>
      <c r="M26" s="54"/>
      <c r="N26" s="54"/>
      <c r="O26" s="54"/>
      <c r="P26" s="54"/>
      <c r="Q26" s="54"/>
    </row>
    <row r="28" spans="2:17" ht="47.25" customHeight="1">
      <c r="B28" s="2360" t="s">
        <v>2202</v>
      </c>
      <c r="C28" s="2361"/>
      <c r="D28" s="2361"/>
      <c r="E28" s="2361"/>
      <c r="F28" s="2361"/>
      <c r="G28" s="2361"/>
      <c r="H28" s="2361"/>
      <c r="I28" s="2361"/>
      <c r="J28" s="2361"/>
      <c r="K28" s="2361"/>
      <c r="L28" s="2361"/>
      <c r="M28" s="2361"/>
      <c r="N28" s="2361"/>
      <c r="O28" s="2361"/>
      <c r="P28" s="2361"/>
      <c r="Q28" s="2361"/>
    </row>
    <row r="31" spans="2:17" ht="47.25" customHeight="1">
      <c r="B31" s="2360" t="s">
        <v>2204</v>
      </c>
      <c r="C31" s="2361"/>
      <c r="D31" s="2361"/>
      <c r="E31" s="2361"/>
      <c r="F31" s="2361"/>
      <c r="G31" s="2361"/>
      <c r="H31" s="2361"/>
      <c r="I31" s="2361"/>
      <c r="J31" s="2361"/>
      <c r="K31" s="2361"/>
      <c r="L31" s="2361"/>
      <c r="M31" s="2361"/>
      <c r="N31" s="2361"/>
      <c r="O31" s="2361"/>
      <c r="P31" s="2361"/>
      <c r="Q31" s="2361"/>
    </row>
    <row r="34" spans="2:17" ht="47.25" customHeight="1">
      <c r="B34" s="2360" t="s">
        <v>2203</v>
      </c>
      <c r="C34" s="2361"/>
      <c r="D34" s="2361"/>
      <c r="E34" s="2361"/>
      <c r="F34" s="2361"/>
      <c r="G34" s="2361"/>
      <c r="H34" s="2361"/>
      <c r="I34" s="2361"/>
      <c r="J34" s="2361"/>
      <c r="K34" s="2361"/>
      <c r="L34" s="2361"/>
      <c r="M34" s="2361"/>
      <c r="N34" s="2361"/>
      <c r="O34" s="2361"/>
      <c r="P34" s="2361"/>
      <c r="Q34" s="2361"/>
    </row>
    <row r="37" spans="2:17" ht="47.25" customHeight="1">
      <c r="B37" s="2360" t="s">
        <v>2198</v>
      </c>
      <c r="C37" s="2361"/>
      <c r="D37" s="2361"/>
      <c r="E37" s="2361"/>
      <c r="F37" s="2361"/>
      <c r="G37" s="2361"/>
      <c r="H37" s="2361"/>
      <c r="I37" s="2361"/>
      <c r="J37" s="2361"/>
      <c r="K37" s="2361"/>
      <c r="L37" s="2361"/>
      <c r="M37" s="2361"/>
      <c r="N37" s="2361"/>
      <c r="O37" s="2361"/>
      <c r="P37" s="2361"/>
      <c r="Q37" s="2361"/>
    </row>
    <row r="40" spans="2:17" ht="47.25" customHeight="1">
      <c r="B40" s="2360" t="s">
        <v>2205</v>
      </c>
      <c r="C40" s="2361"/>
      <c r="D40" s="2361"/>
      <c r="E40" s="2361"/>
      <c r="F40" s="2361"/>
      <c r="G40" s="2361"/>
      <c r="H40" s="2361"/>
      <c r="I40" s="2361"/>
      <c r="J40" s="2361"/>
      <c r="K40" s="2361"/>
      <c r="L40" s="2361"/>
      <c r="M40" s="2361"/>
      <c r="N40" s="2361"/>
      <c r="O40" s="2361"/>
      <c r="P40" s="2361"/>
      <c r="Q40" s="2361"/>
    </row>
    <row r="43" spans="2:17" ht="47.25" customHeight="1">
      <c r="B43" s="2360" t="s">
        <v>2211</v>
      </c>
      <c r="C43" s="2361"/>
      <c r="D43" s="2361"/>
      <c r="E43" s="2361"/>
      <c r="F43" s="2361"/>
      <c r="G43" s="2361"/>
      <c r="H43" s="2361"/>
      <c r="I43" s="2361"/>
      <c r="J43" s="2361"/>
      <c r="K43" s="2361"/>
      <c r="L43" s="2361"/>
      <c r="M43" s="2361"/>
      <c r="N43" s="2361"/>
      <c r="O43" s="2361"/>
      <c r="P43" s="2361"/>
      <c r="Q43" s="2361"/>
    </row>
    <row r="46" spans="2:17" ht="47.25" customHeight="1">
      <c r="B46" s="2360" t="s">
        <v>2272</v>
      </c>
      <c r="C46" s="2361"/>
      <c r="D46" s="2361"/>
      <c r="E46" s="2361"/>
      <c r="F46" s="2361"/>
      <c r="G46" s="2361"/>
      <c r="H46" s="2361"/>
      <c r="I46" s="2361"/>
      <c r="J46" s="2361"/>
      <c r="K46" s="2361"/>
      <c r="L46" s="2361"/>
      <c r="M46" s="2361"/>
      <c r="N46" s="2361"/>
      <c r="O46" s="2361"/>
      <c r="P46" s="2361"/>
      <c r="Q46" s="2361"/>
    </row>
    <row r="47" spans="2:17">
      <c r="C47" s="54"/>
      <c r="D47" s="54"/>
      <c r="E47" s="54"/>
      <c r="F47" s="54"/>
      <c r="G47" s="54"/>
      <c r="H47" s="54"/>
      <c r="I47" s="54"/>
      <c r="J47" s="54"/>
      <c r="K47" s="54"/>
      <c r="L47" s="54"/>
      <c r="M47" s="54"/>
      <c r="N47" s="54"/>
      <c r="O47" s="54"/>
      <c r="P47" s="54"/>
      <c r="Q47" s="54"/>
    </row>
    <row r="48" spans="2:17">
      <c r="C48" s="54"/>
      <c r="D48" s="54"/>
      <c r="E48" s="54"/>
      <c r="F48" s="54"/>
      <c r="G48" s="54"/>
      <c r="H48" s="54"/>
      <c r="I48" s="54"/>
      <c r="J48" s="54"/>
      <c r="K48" s="54"/>
      <c r="L48" s="54"/>
      <c r="M48" s="54"/>
      <c r="N48" s="54"/>
      <c r="O48" s="54"/>
      <c r="P48" s="54"/>
      <c r="Q48" s="54"/>
    </row>
    <row r="49" spans="2:17" ht="21">
      <c r="B49" s="1962" t="s">
        <v>1571</v>
      </c>
      <c r="C49" s="2357" t="s">
        <v>2270</v>
      </c>
      <c r="D49" s="2357"/>
      <c r="E49" s="2357"/>
      <c r="F49" s="2357"/>
      <c r="G49" s="2357"/>
      <c r="H49" s="2357"/>
      <c r="I49" s="2357"/>
      <c r="J49" s="2357"/>
      <c r="K49" s="2357"/>
      <c r="L49" s="2357"/>
      <c r="M49" s="2357"/>
      <c r="N49" s="54"/>
      <c r="O49" s="54"/>
      <c r="P49" s="54"/>
      <c r="Q49" s="54"/>
    </row>
    <row r="50" spans="2:17">
      <c r="C50" s="54"/>
      <c r="D50" s="54"/>
      <c r="E50" s="54"/>
      <c r="F50" s="54"/>
      <c r="G50" s="54"/>
      <c r="H50" s="54"/>
      <c r="I50" s="54"/>
      <c r="J50" s="54"/>
      <c r="K50" s="54"/>
      <c r="L50" s="54"/>
      <c r="M50" s="54"/>
      <c r="N50" s="54"/>
      <c r="O50" s="54"/>
      <c r="P50" s="54"/>
      <c r="Q50" s="54"/>
    </row>
    <row r="51" spans="2:17" ht="21">
      <c r="B51" s="1390" t="s">
        <v>1571</v>
      </c>
      <c r="C51" s="2357" t="s">
        <v>2271</v>
      </c>
      <c r="D51" s="2358"/>
      <c r="E51" s="2358"/>
      <c r="F51" s="2358"/>
      <c r="G51" s="2358"/>
      <c r="H51" s="2358"/>
      <c r="I51" s="2358"/>
      <c r="J51" s="2358"/>
      <c r="K51" s="2358"/>
      <c r="L51" s="2358"/>
      <c r="M51" s="2358"/>
      <c r="N51" s="54"/>
      <c r="O51" s="54"/>
      <c r="P51" s="54"/>
      <c r="Q51" s="54"/>
    </row>
    <row r="52" spans="2:17">
      <c r="C52" s="54"/>
      <c r="D52" s="54"/>
      <c r="E52" s="54"/>
      <c r="F52" s="54"/>
      <c r="G52" s="54"/>
      <c r="H52" s="54"/>
      <c r="I52" s="54"/>
      <c r="J52" s="54"/>
      <c r="K52" s="54"/>
      <c r="L52" s="54"/>
      <c r="M52" s="54"/>
      <c r="N52" s="54"/>
      <c r="O52" s="54"/>
      <c r="P52" s="54"/>
      <c r="Q52" s="54"/>
    </row>
    <row r="53" spans="2:17" ht="21">
      <c r="B53" s="1390" t="s">
        <v>1571</v>
      </c>
      <c r="C53" s="2357" t="s">
        <v>2273</v>
      </c>
      <c r="D53" s="2358"/>
      <c r="E53" s="2358"/>
      <c r="F53" s="2358"/>
      <c r="G53" s="2358"/>
      <c r="H53" s="2358"/>
      <c r="I53" s="2358"/>
      <c r="J53" s="2358"/>
      <c r="K53" s="2358"/>
      <c r="L53" s="2358"/>
      <c r="M53" s="2358"/>
      <c r="N53" s="54"/>
      <c r="O53" s="54"/>
      <c r="P53" s="54"/>
      <c r="Q53" s="54"/>
    </row>
    <row r="54" spans="2:17">
      <c r="C54" s="54"/>
      <c r="D54" s="54"/>
      <c r="E54" s="54"/>
      <c r="F54" s="54"/>
      <c r="G54" s="54"/>
      <c r="H54" s="54"/>
      <c r="I54" s="54"/>
      <c r="J54" s="54"/>
      <c r="K54" s="54"/>
      <c r="L54" s="54"/>
      <c r="M54" s="54"/>
      <c r="N54" s="54"/>
      <c r="O54" s="54"/>
      <c r="P54" s="54"/>
      <c r="Q54" s="54"/>
    </row>
    <row r="55" spans="2:17" ht="21">
      <c r="B55" s="1390" t="s">
        <v>1571</v>
      </c>
      <c r="C55" s="2357" t="s">
        <v>2274</v>
      </c>
      <c r="D55" s="2358"/>
      <c r="E55" s="2358"/>
      <c r="F55" s="2358"/>
      <c r="G55" s="2358"/>
      <c r="H55" s="2358"/>
      <c r="I55" s="2358"/>
      <c r="J55" s="2358"/>
      <c r="K55" s="2358"/>
      <c r="L55" s="2358"/>
      <c r="M55" s="2358"/>
      <c r="N55" s="54"/>
      <c r="O55" s="54"/>
      <c r="P55" s="54"/>
      <c r="Q55" s="54"/>
    </row>
    <row r="56" spans="2:17">
      <c r="C56" s="54"/>
      <c r="D56" s="54"/>
      <c r="E56" s="54"/>
      <c r="F56" s="54"/>
      <c r="G56" s="54"/>
      <c r="H56" s="54"/>
      <c r="I56" s="54"/>
      <c r="J56" s="54"/>
      <c r="K56" s="54"/>
      <c r="L56" s="54"/>
      <c r="M56" s="54"/>
      <c r="N56" s="54"/>
      <c r="O56" s="54"/>
      <c r="P56" s="54"/>
      <c r="Q56" s="54"/>
    </row>
    <row r="57" spans="2:17" ht="21">
      <c r="B57" s="1390" t="s">
        <v>1571</v>
      </c>
      <c r="C57" s="2357" t="s">
        <v>2275</v>
      </c>
      <c r="D57" s="2358"/>
      <c r="E57" s="2358"/>
      <c r="F57" s="2358"/>
      <c r="G57" s="2358"/>
      <c r="H57" s="2358"/>
      <c r="I57" s="2358"/>
      <c r="J57" s="2358"/>
      <c r="K57" s="2358"/>
      <c r="L57" s="2358"/>
      <c r="M57" s="2358"/>
      <c r="N57" s="54"/>
      <c r="O57" s="54"/>
      <c r="P57" s="54"/>
      <c r="Q57" s="54"/>
    </row>
    <row r="58" spans="2:17" ht="21">
      <c r="B58" s="1969"/>
      <c r="C58" s="1970"/>
      <c r="D58" s="1970"/>
      <c r="E58" s="1970"/>
      <c r="F58" s="1970"/>
      <c r="G58" s="1970"/>
      <c r="H58" s="1970"/>
      <c r="I58" s="1970"/>
      <c r="J58" s="1970"/>
      <c r="K58" s="1970"/>
      <c r="L58" s="1971"/>
      <c r="M58" s="1971"/>
      <c r="N58" s="54"/>
      <c r="O58" s="54"/>
      <c r="P58" s="54"/>
      <c r="Q58" s="54"/>
    </row>
    <row r="59" spans="2:17" ht="21">
      <c r="B59" s="1390" t="s">
        <v>1571</v>
      </c>
      <c r="C59" s="2357" t="s">
        <v>2276</v>
      </c>
      <c r="D59" s="2358"/>
      <c r="E59" s="2358"/>
      <c r="F59" s="2358"/>
      <c r="G59" s="2358"/>
      <c r="H59" s="2358"/>
      <c r="I59" s="2358"/>
      <c r="J59" s="2358"/>
      <c r="K59" s="2358"/>
      <c r="L59" s="2358"/>
      <c r="M59" s="2358"/>
      <c r="N59" s="54"/>
      <c r="O59" s="54"/>
      <c r="P59" s="54"/>
      <c r="Q59" s="54"/>
    </row>
    <row r="60" spans="2:17" ht="21">
      <c r="B60" s="1969"/>
      <c r="C60" s="1970"/>
      <c r="D60" s="1970"/>
      <c r="E60" s="1970"/>
      <c r="F60" s="1970"/>
      <c r="G60" s="1970"/>
      <c r="H60" s="1970"/>
      <c r="I60" s="1970"/>
      <c r="J60" s="1970"/>
      <c r="K60" s="1970"/>
      <c r="L60" s="1971"/>
      <c r="M60" s="1971"/>
      <c r="N60" s="54"/>
      <c r="O60" s="54"/>
      <c r="P60" s="54"/>
      <c r="Q60" s="54"/>
    </row>
    <row r="61" spans="2:17" ht="21">
      <c r="B61" s="1390" t="s">
        <v>1571</v>
      </c>
      <c r="C61" s="2357" t="s">
        <v>2277</v>
      </c>
      <c r="D61" s="2358"/>
      <c r="E61" s="2358"/>
      <c r="F61" s="2358"/>
      <c r="G61" s="2358"/>
      <c r="H61" s="2358"/>
      <c r="I61" s="2358"/>
      <c r="J61" s="2358"/>
      <c r="K61" s="2358"/>
      <c r="L61" s="2358"/>
      <c r="M61" s="2358"/>
      <c r="N61" s="54"/>
      <c r="O61" s="54"/>
      <c r="P61" s="54"/>
      <c r="Q61" s="54"/>
    </row>
    <row r="62" spans="2:17" ht="21">
      <c r="B62" s="1969"/>
      <c r="C62" s="1970"/>
      <c r="D62" s="1970"/>
      <c r="E62" s="1970"/>
      <c r="F62" s="1970"/>
      <c r="G62" s="1970"/>
      <c r="H62" s="1970"/>
      <c r="I62" s="1970"/>
      <c r="J62" s="1970"/>
      <c r="K62" s="1970"/>
      <c r="L62" s="1971"/>
      <c r="M62" s="1971"/>
      <c r="N62" s="54"/>
      <c r="O62" s="54"/>
      <c r="P62" s="54"/>
      <c r="Q62" s="54"/>
    </row>
    <row r="63" spans="2:17" ht="21">
      <c r="B63" s="1390" t="s">
        <v>1571</v>
      </c>
      <c r="C63" s="2357" t="s">
        <v>2278</v>
      </c>
      <c r="D63" s="2358"/>
      <c r="E63" s="2358"/>
      <c r="F63" s="2358"/>
      <c r="G63" s="2358"/>
      <c r="H63" s="2358"/>
      <c r="I63" s="2358"/>
      <c r="J63" s="2358"/>
      <c r="K63" s="2358"/>
      <c r="L63" s="2358"/>
      <c r="M63" s="2358"/>
      <c r="N63" s="54"/>
      <c r="O63" s="54"/>
      <c r="P63" s="54"/>
      <c r="Q63" s="54"/>
    </row>
    <row r="64" spans="2:17" ht="21">
      <c r="B64" s="1969"/>
      <c r="C64" s="1970"/>
      <c r="D64" s="1970"/>
      <c r="E64" s="1970"/>
      <c r="F64" s="1970"/>
      <c r="G64" s="1970"/>
      <c r="H64" s="1970"/>
      <c r="I64" s="1970"/>
      <c r="J64" s="1970"/>
      <c r="K64" s="1970"/>
      <c r="L64" s="1971"/>
      <c r="M64" s="1971"/>
      <c r="N64" s="54"/>
      <c r="O64" s="54"/>
      <c r="P64" s="54"/>
      <c r="Q64" s="54"/>
    </row>
    <row r="65" spans="2:17" ht="21">
      <c r="B65" s="1390" t="s">
        <v>1571</v>
      </c>
      <c r="C65" s="2357" t="s">
        <v>2279</v>
      </c>
      <c r="D65" s="2358"/>
      <c r="E65" s="2358"/>
      <c r="F65" s="2358"/>
      <c r="G65" s="2358"/>
      <c r="H65" s="2358"/>
      <c r="I65" s="2358"/>
      <c r="J65" s="2358"/>
      <c r="K65" s="2358"/>
      <c r="L65" s="2358"/>
      <c r="M65" s="2358"/>
      <c r="N65" s="54"/>
      <c r="O65" s="54"/>
      <c r="P65" s="54"/>
      <c r="Q65" s="54"/>
    </row>
    <row r="66" spans="2:17" ht="21">
      <c r="B66" s="1969"/>
      <c r="C66" s="1970"/>
      <c r="D66" s="1970"/>
      <c r="E66" s="1970"/>
      <c r="F66" s="1970"/>
      <c r="G66" s="1970"/>
      <c r="H66" s="1970"/>
      <c r="I66" s="1970"/>
      <c r="J66" s="1970"/>
      <c r="K66" s="1970"/>
      <c r="L66" s="1971"/>
      <c r="M66" s="1971"/>
      <c r="N66" s="54"/>
      <c r="O66" s="54"/>
      <c r="P66" s="54"/>
      <c r="Q66" s="54"/>
    </row>
    <row r="67" spans="2:17" ht="21">
      <c r="B67" s="1390" t="s">
        <v>1571</v>
      </c>
      <c r="C67" s="2357" t="s">
        <v>2280</v>
      </c>
      <c r="D67" s="2358"/>
      <c r="E67" s="2358"/>
      <c r="F67" s="2358"/>
      <c r="G67" s="2358"/>
      <c r="H67" s="2358"/>
      <c r="I67" s="2358"/>
      <c r="J67" s="2358"/>
      <c r="K67" s="2358"/>
      <c r="L67" s="2358"/>
      <c r="M67" s="2358"/>
      <c r="N67" s="54"/>
      <c r="O67" s="54"/>
      <c r="P67" s="54"/>
      <c r="Q67" s="54"/>
    </row>
    <row r="68" spans="2:17" ht="21">
      <c r="B68" s="1969"/>
      <c r="C68" s="1970"/>
      <c r="D68" s="1970"/>
      <c r="E68" s="1970"/>
      <c r="F68" s="1970"/>
      <c r="G68" s="1970"/>
      <c r="H68" s="1970"/>
      <c r="I68" s="1970"/>
      <c r="J68" s="1970"/>
      <c r="K68" s="1970"/>
      <c r="L68" s="1971"/>
      <c r="M68" s="1971"/>
      <c r="N68" s="54"/>
      <c r="O68" s="54"/>
      <c r="P68" s="54"/>
      <c r="Q68" s="54"/>
    </row>
    <row r="69" spans="2:17" ht="21">
      <c r="B69" s="1390" t="s">
        <v>1571</v>
      </c>
      <c r="C69" s="2357" t="s">
        <v>2281</v>
      </c>
      <c r="D69" s="2358"/>
      <c r="E69" s="2358"/>
      <c r="F69" s="2358"/>
      <c r="G69" s="2358"/>
      <c r="H69" s="2358"/>
      <c r="I69" s="2358"/>
      <c r="J69" s="2358"/>
      <c r="K69" s="2358"/>
      <c r="L69" s="2358"/>
      <c r="M69" s="2358"/>
      <c r="N69" s="54"/>
      <c r="O69" s="54"/>
      <c r="P69" s="54"/>
      <c r="Q69" s="54"/>
    </row>
    <row r="70" spans="2:17" ht="21">
      <c r="B70" s="1969"/>
      <c r="C70" s="1970"/>
      <c r="D70" s="1970"/>
      <c r="E70" s="1970"/>
      <c r="F70" s="1970"/>
      <c r="G70" s="1970"/>
      <c r="H70" s="1970"/>
      <c r="I70" s="1970"/>
      <c r="J70" s="1970"/>
      <c r="K70" s="1970"/>
      <c r="L70" s="1971"/>
      <c r="M70" s="1971"/>
      <c r="N70" s="54"/>
      <c r="O70" s="54"/>
      <c r="P70" s="54"/>
      <c r="Q70" s="54"/>
    </row>
    <row r="71" spans="2:17" ht="21">
      <c r="B71" s="1390" t="s">
        <v>1571</v>
      </c>
      <c r="C71" s="2359" t="s">
        <v>2282</v>
      </c>
      <c r="D71" s="2359"/>
      <c r="E71" s="2359"/>
      <c r="F71" s="2359"/>
      <c r="G71" s="2359"/>
      <c r="H71" s="2359"/>
      <c r="I71" s="2359"/>
      <c r="J71" s="2359"/>
      <c r="K71" s="2359"/>
      <c r="L71" s="2359"/>
      <c r="M71" s="2359"/>
      <c r="N71" s="54"/>
      <c r="O71" s="54"/>
      <c r="P71" s="54"/>
      <c r="Q71" s="54"/>
    </row>
    <row r="72" spans="2:17">
      <c r="C72" s="1968"/>
      <c r="D72" s="1968"/>
      <c r="E72" s="1968"/>
      <c r="F72" s="1968"/>
      <c r="G72" s="1968"/>
      <c r="H72" s="1968"/>
      <c r="I72" s="1968"/>
      <c r="J72" s="1968"/>
      <c r="K72" s="1968"/>
    </row>
    <row r="73" spans="2:17" ht="21">
      <c r="B73" s="1390" t="s">
        <v>1571</v>
      </c>
      <c r="C73" s="1969" t="s">
        <v>2290</v>
      </c>
    </row>
  </sheetData>
  <mergeCells count="29">
    <mergeCell ref="B28:Q28"/>
    <mergeCell ref="B31:Q31"/>
    <mergeCell ref="B34:Q34"/>
    <mergeCell ref="B37:Q37"/>
    <mergeCell ref="B40:Q40"/>
    <mergeCell ref="B2:Q2"/>
    <mergeCell ref="B4:Q4"/>
    <mergeCell ref="B6:Q6"/>
    <mergeCell ref="B8:Q9"/>
    <mergeCell ref="B25:Q25"/>
    <mergeCell ref="B11:Q12"/>
    <mergeCell ref="B13:Q14"/>
    <mergeCell ref="B15:Q16"/>
    <mergeCell ref="B19:Q20"/>
    <mergeCell ref="B21:Q22"/>
    <mergeCell ref="C49:M49"/>
    <mergeCell ref="C51:M51"/>
    <mergeCell ref="B46:Q46"/>
    <mergeCell ref="C53:M53"/>
    <mergeCell ref="B43:Q43"/>
    <mergeCell ref="C65:M65"/>
    <mergeCell ref="C67:M67"/>
    <mergeCell ref="C69:M69"/>
    <mergeCell ref="C71:M71"/>
    <mergeCell ref="C55:M55"/>
    <mergeCell ref="C57:M57"/>
    <mergeCell ref="C59:M59"/>
    <mergeCell ref="C61:M61"/>
    <mergeCell ref="C63:M63"/>
  </mergeCells>
  <hyperlinks>
    <hyperlink ref="C49" r:id="rId1"/>
    <hyperlink ref="C51" r:id="rId2"/>
    <hyperlink ref="C53" r:id="rId3"/>
    <hyperlink ref="C55" r:id="rId4"/>
    <hyperlink ref="C57" r:id="rId5"/>
    <hyperlink ref="C59" r:id="rId6"/>
    <hyperlink ref="C61" r:id="rId7"/>
    <hyperlink ref="C63" r:id="rId8"/>
    <hyperlink ref="C65" r:id="rId9"/>
    <hyperlink ref="C67" r:id="rId10"/>
    <hyperlink ref="C69" r:id="rId11"/>
    <hyperlink ref="C71:M71" r:id="rId12" display="Vidéos"/>
  </hyperlinks>
  <pageMargins left="0.7" right="0.7" top="0.75" bottom="0.75" header="0.3" footer="0.3"/>
  <pageSetup paperSize="9" orientation="portrait"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R39"/>
  <sheetViews>
    <sheetView showGridLines="0" workbookViewId="0">
      <selection activeCell="M30" sqref="M30"/>
    </sheetView>
  </sheetViews>
  <sheetFormatPr baseColWidth="10" defaultColWidth="13" defaultRowHeight="17.45" customHeight="1"/>
  <cols>
    <col min="1" max="1" width="36.28515625" style="1173" customWidth="1"/>
    <col min="2" max="7" width="17.5703125" style="1173" customWidth="1"/>
    <col min="8" max="256" width="13" style="1173"/>
    <col min="257" max="257" width="36.28515625" style="1173" customWidth="1"/>
    <col min="258" max="263" width="17.5703125" style="1173" customWidth="1"/>
    <col min="264" max="512" width="13" style="1173"/>
    <col min="513" max="513" width="36.28515625" style="1173" customWidth="1"/>
    <col min="514" max="519" width="17.5703125" style="1173" customWidth="1"/>
    <col min="520" max="768" width="13" style="1173"/>
    <col min="769" max="769" width="36.28515625" style="1173" customWidth="1"/>
    <col min="770" max="775" width="17.5703125" style="1173" customWidth="1"/>
    <col min="776" max="1024" width="13" style="1173"/>
    <col min="1025" max="1025" width="36.28515625" style="1173" customWidth="1"/>
    <col min="1026" max="1031" width="17.5703125" style="1173" customWidth="1"/>
    <col min="1032" max="1280" width="13" style="1173"/>
    <col min="1281" max="1281" width="36.28515625" style="1173" customWidth="1"/>
    <col min="1282" max="1287" width="17.5703125" style="1173" customWidth="1"/>
    <col min="1288" max="1536" width="13" style="1173"/>
    <col min="1537" max="1537" width="36.28515625" style="1173" customWidth="1"/>
    <col min="1538" max="1543" width="17.5703125" style="1173" customWidth="1"/>
    <col min="1544" max="1792" width="13" style="1173"/>
    <col min="1793" max="1793" width="36.28515625" style="1173" customWidth="1"/>
    <col min="1794" max="1799" width="17.5703125" style="1173" customWidth="1"/>
    <col min="1800" max="2048" width="13" style="1173"/>
    <col min="2049" max="2049" width="36.28515625" style="1173" customWidth="1"/>
    <col min="2050" max="2055" width="17.5703125" style="1173" customWidth="1"/>
    <col min="2056" max="2304" width="13" style="1173"/>
    <col min="2305" max="2305" width="36.28515625" style="1173" customWidth="1"/>
    <col min="2306" max="2311" width="17.5703125" style="1173" customWidth="1"/>
    <col min="2312" max="2560" width="13" style="1173"/>
    <col min="2561" max="2561" width="36.28515625" style="1173" customWidth="1"/>
    <col min="2562" max="2567" width="17.5703125" style="1173" customWidth="1"/>
    <col min="2568" max="2816" width="13" style="1173"/>
    <col min="2817" max="2817" width="36.28515625" style="1173" customWidth="1"/>
    <col min="2818" max="2823" width="17.5703125" style="1173" customWidth="1"/>
    <col min="2824" max="3072" width="13" style="1173"/>
    <col min="3073" max="3073" width="36.28515625" style="1173" customWidth="1"/>
    <col min="3074" max="3079" width="17.5703125" style="1173" customWidth="1"/>
    <col min="3080" max="3328" width="13" style="1173"/>
    <col min="3329" max="3329" width="36.28515625" style="1173" customWidth="1"/>
    <col min="3330" max="3335" width="17.5703125" style="1173" customWidth="1"/>
    <col min="3336" max="3584" width="13" style="1173"/>
    <col min="3585" max="3585" width="36.28515625" style="1173" customWidth="1"/>
    <col min="3586" max="3591" width="17.5703125" style="1173" customWidth="1"/>
    <col min="3592" max="3840" width="13" style="1173"/>
    <col min="3841" max="3841" width="36.28515625" style="1173" customWidth="1"/>
    <col min="3842" max="3847" width="17.5703125" style="1173" customWidth="1"/>
    <col min="3848" max="4096" width="13" style="1173"/>
    <col min="4097" max="4097" width="36.28515625" style="1173" customWidth="1"/>
    <col min="4098" max="4103" width="17.5703125" style="1173" customWidth="1"/>
    <col min="4104" max="4352" width="13" style="1173"/>
    <col min="4353" max="4353" width="36.28515625" style="1173" customWidth="1"/>
    <col min="4354" max="4359" width="17.5703125" style="1173" customWidth="1"/>
    <col min="4360" max="4608" width="13" style="1173"/>
    <col min="4609" max="4609" width="36.28515625" style="1173" customWidth="1"/>
    <col min="4610" max="4615" width="17.5703125" style="1173" customWidth="1"/>
    <col min="4616" max="4864" width="13" style="1173"/>
    <col min="4865" max="4865" width="36.28515625" style="1173" customWidth="1"/>
    <col min="4866" max="4871" width="17.5703125" style="1173" customWidth="1"/>
    <col min="4872" max="5120" width="13" style="1173"/>
    <col min="5121" max="5121" width="36.28515625" style="1173" customWidth="1"/>
    <col min="5122" max="5127" width="17.5703125" style="1173" customWidth="1"/>
    <col min="5128" max="5376" width="13" style="1173"/>
    <col min="5377" max="5377" width="36.28515625" style="1173" customWidth="1"/>
    <col min="5378" max="5383" width="17.5703125" style="1173" customWidth="1"/>
    <col min="5384" max="5632" width="13" style="1173"/>
    <col min="5633" max="5633" width="36.28515625" style="1173" customWidth="1"/>
    <col min="5634" max="5639" width="17.5703125" style="1173" customWidth="1"/>
    <col min="5640" max="5888" width="13" style="1173"/>
    <col min="5889" max="5889" width="36.28515625" style="1173" customWidth="1"/>
    <col min="5890" max="5895" width="17.5703125" style="1173" customWidth="1"/>
    <col min="5896" max="6144" width="13" style="1173"/>
    <col min="6145" max="6145" width="36.28515625" style="1173" customWidth="1"/>
    <col min="6146" max="6151" width="17.5703125" style="1173" customWidth="1"/>
    <col min="6152" max="6400" width="13" style="1173"/>
    <col min="6401" max="6401" width="36.28515625" style="1173" customWidth="1"/>
    <col min="6402" max="6407" width="17.5703125" style="1173" customWidth="1"/>
    <col min="6408" max="6656" width="13" style="1173"/>
    <col min="6657" max="6657" width="36.28515625" style="1173" customWidth="1"/>
    <col min="6658" max="6663" width="17.5703125" style="1173" customWidth="1"/>
    <col min="6664" max="6912" width="13" style="1173"/>
    <col min="6913" max="6913" width="36.28515625" style="1173" customWidth="1"/>
    <col min="6914" max="6919" width="17.5703125" style="1173" customWidth="1"/>
    <col min="6920" max="7168" width="13" style="1173"/>
    <col min="7169" max="7169" width="36.28515625" style="1173" customWidth="1"/>
    <col min="7170" max="7175" width="17.5703125" style="1173" customWidth="1"/>
    <col min="7176" max="7424" width="13" style="1173"/>
    <col min="7425" max="7425" width="36.28515625" style="1173" customWidth="1"/>
    <col min="7426" max="7431" width="17.5703125" style="1173" customWidth="1"/>
    <col min="7432" max="7680" width="13" style="1173"/>
    <col min="7681" max="7681" width="36.28515625" style="1173" customWidth="1"/>
    <col min="7682" max="7687" width="17.5703125" style="1173" customWidth="1"/>
    <col min="7688" max="7936" width="13" style="1173"/>
    <col min="7937" max="7937" width="36.28515625" style="1173" customWidth="1"/>
    <col min="7938" max="7943" width="17.5703125" style="1173" customWidth="1"/>
    <col min="7944" max="8192" width="13" style="1173"/>
    <col min="8193" max="8193" width="36.28515625" style="1173" customWidth="1"/>
    <col min="8194" max="8199" width="17.5703125" style="1173" customWidth="1"/>
    <col min="8200" max="8448" width="13" style="1173"/>
    <col min="8449" max="8449" width="36.28515625" style="1173" customWidth="1"/>
    <col min="8450" max="8455" width="17.5703125" style="1173" customWidth="1"/>
    <col min="8456" max="8704" width="13" style="1173"/>
    <col min="8705" max="8705" width="36.28515625" style="1173" customWidth="1"/>
    <col min="8706" max="8711" width="17.5703125" style="1173" customWidth="1"/>
    <col min="8712" max="8960" width="13" style="1173"/>
    <col min="8961" max="8961" width="36.28515625" style="1173" customWidth="1"/>
    <col min="8962" max="8967" width="17.5703125" style="1173" customWidth="1"/>
    <col min="8968" max="9216" width="13" style="1173"/>
    <col min="9217" max="9217" width="36.28515625" style="1173" customWidth="1"/>
    <col min="9218" max="9223" width="17.5703125" style="1173" customWidth="1"/>
    <col min="9224" max="9472" width="13" style="1173"/>
    <col min="9473" max="9473" width="36.28515625" style="1173" customWidth="1"/>
    <col min="9474" max="9479" width="17.5703125" style="1173" customWidth="1"/>
    <col min="9480" max="9728" width="13" style="1173"/>
    <col min="9729" max="9729" width="36.28515625" style="1173" customWidth="1"/>
    <col min="9730" max="9735" width="17.5703125" style="1173" customWidth="1"/>
    <col min="9736" max="9984" width="13" style="1173"/>
    <col min="9985" max="9985" width="36.28515625" style="1173" customWidth="1"/>
    <col min="9986" max="9991" width="17.5703125" style="1173" customWidth="1"/>
    <col min="9992" max="10240" width="13" style="1173"/>
    <col min="10241" max="10241" width="36.28515625" style="1173" customWidth="1"/>
    <col min="10242" max="10247" width="17.5703125" style="1173" customWidth="1"/>
    <col min="10248" max="10496" width="13" style="1173"/>
    <col min="10497" max="10497" width="36.28515625" style="1173" customWidth="1"/>
    <col min="10498" max="10503" width="17.5703125" style="1173" customWidth="1"/>
    <col min="10504" max="10752" width="13" style="1173"/>
    <col min="10753" max="10753" width="36.28515625" style="1173" customWidth="1"/>
    <col min="10754" max="10759" width="17.5703125" style="1173" customWidth="1"/>
    <col min="10760" max="11008" width="13" style="1173"/>
    <col min="11009" max="11009" width="36.28515625" style="1173" customWidth="1"/>
    <col min="11010" max="11015" width="17.5703125" style="1173" customWidth="1"/>
    <col min="11016" max="11264" width="13" style="1173"/>
    <col min="11265" max="11265" width="36.28515625" style="1173" customWidth="1"/>
    <col min="11266" max="11271" width="17.5703125" style="1173" customWidth="1"/>
    <col min="11272" max="11520" width="13" style="1173"/>
    <col min="11521" max="11521" width="36.28515625" style="1173" customWidth="1"/>
    <col min="11522" max="11527" width="17.5703125" style="1173" customWidth="1"/>
    <col min="11528" max="11776" width="13" style="1173"/>
    <col min="11777" max="11777" width="36.28515625" style="1173" customWidth="1"/>
    <col min="11778" max="11783" width="17.5703125" style="1173" customWidth="1"/>
    <col min="11784" max="12032" width="13" style="1173"/>
    <col min="12033" max="12033" width="36.28515625" style="1173" customWidth="1"/>
    <col min="12034" max="12039" width="17.5703125" style="1173" customWidth="1"/>
    <col min="12040" max="12288" width="13" style="1173"/>
    <col min="12289" max="12289" width="36.28515625" style="1173" customWidth="1"/>
    <col min="12290" max="12295" width="17.5703125" style="1173" customWidth="1"/>
    <col min="12296" max="12544" width="13" style="1173"/>
    <col min="12545" max="12545" width="36.28515625" style="1173" customWidth="1"/>
    <col min="12546" max="12551" width="17.5703125" style="1173" customWidth="1"/>
    <col min="12552" max="12800" width="13" style="1173"/>
    <col min="12801" max="12801" width="36.28515625" style="1173" customWidth="1"/>
    <col min="12802" max="12807" width="17.5703125" style="1173" customWidth="1"/>
    <col min="12808" max="13056" width="13" style="1173"/>
    <col min="13057" max="13057" width="36.28515625" style="1173" customWidth="1"/>
    <col min="13058" max="13063" width="17.5703125" style="1173" customWidth="1"/>
    <col min="13064" max="13312" width="13" style="1173"/>
    <col min="13313" max="13313" width="36.28515625" style="1173" customWidth="1"/>
    <col min="13314" max="13319" width="17.5703125" style="1173" customWidth="1"/>
    <col min="13320" max="13568" width="13" style="1173"/>
    <col min="13569" max="13569" width="36.28515625" style="1173" customWidth="1"/>
    <col min="13570" max="13575" width="17.5703125" style="1173" customWidth="1"/>
    <col min="13576" max="13824" width="13" style="1173"/>
    <col min="13825" max="13825" width="36.28515625" style="1173" customWidth="1"/>
    <col min="13826" max="13831" width="17.5703125" style="1173" customWidth="1"/>
    <col min="13832" max="14080" width="13" style="1173"/>
    <col min="14081" max="14081" width="36.28515625" style="1173" customWidth="1"/>
    <col min="14082" max="14087" width="17.5703125" style="1173" customWidth="1"/>
    <col min="14088" max="14336" width="13" style="1173"/>
    <col min="14337" max="14337" width="36.28515625" style="1173" customWidth="1"/>
    <col min="14338" max="14343" width="17.5703125" style="1173" customWidth="1"/>
    <col min="14344" max="14592" width="13" style="1173"/>
    <col min="14593" max="14593" width="36.28515625" style="1173" customWidth="1"/>
    <col min="14594" max="14599" width="17.5703125" style="1173" customWidth="1"/>
    <col min="14600" max="14848" width="13" style="1173"/>
    <col min="14849" max="14849" width="36.28515625" style="1173" customWidth="1"/>
    <col min="14850" max="14855" width="17.5703125" style="1173" customWidth="1"/>
    <col min="14856" max="15104" width="13" style="1173"/>
    <col min="15105" max="15105" width="36.28515625" style="1173" customWidth="1"/>
    <col min="15106" max="15111" width="17.5703125" style="1173" customWidth="1"/>
    <col min="15112" max="15360" width="13" style="1173"/>
    <col min="15361" max="15361" width="36.28515625" style="1173" customWidth="1"/>
    <col min="15362" max="15367" width="17.5703125" style="1173" customWidth="1"/>
    <col min="15368" max="15616" width="13" style="1173"/>
    <col min="15617" max="15617" width="36.28515625" style="1173" customWidth="1"/>
    <col min="15618" max="15623" width="17.5703125" style="1173" customWidth="1"/>
    <col min="15624" max="15872" width="13" style="1173"/>
    <col min="15873" max="15873" width="36.28515625" style="1173" customWidth="1"/>
    <col min="15874" max="15879" width="17.5703125" style="1173" customWidth="1"/>
    <col min="15880" max="16128" width="13" style="1173"/>
    <col min="16129" max="16129" width="36.28515625" style="1173" customWidth="1"/>
    <col min="16130" max="16135" width="17.5703125" style="1173" customWidth="1"/>
    <col min="16136" max="16384" width="13" style="1173"/>
  </cols>
  <sheetData>
    <row r="1" spans="1:18" s="1162" customFormat="1" ht="19.899999999999999" customHeight="1">
      <c r="A1" s="1160" t="s">
        <v>1609</v>
      </c>
      <c r="B1" s="1161"/>
      <c r="C1" s="1160" t="s">
        <v>1610</v>
      </c>
      <c r="E1" s="1163"/>
      <c r="F1" s="1163" t="s">
        <v>1611</v>
      </c>
      <c r="G1" s="1164"/>
      <c r="H1" s="1165"/>
      <c r="I1" s="1166"/>
      <c r="J1" s="1163"/>
    </row>
    <row r="2" spans="1:18" s="1168" customFormat="1" ht="17.45" customHeight="1">
      <c r="A2" s="1167" t="s">
        <v>1676</v>
      </c>
    </row>
    <row r="3" spans="1:18" s="1170" customFormat="1" ht="17.45" customHeight="1">
      <c r="A3" s="1169"/>
      <c r="E3" s="1171" t="s">
        <v>1613</v>
      </c>
    </row>
    <row r="4" spans="1:18" ht="17.45" customHeight="1">
      <c r="A4" s="1172"/>
      <c r="B4" s="1172"/>
      <c r="C4" s="1172"/>
      <c r="E4" s="1174">
        <v>10</v>
      </c>
      <c r="F4" s="1175"/>
      <c r="G4" s="1176"/>
      <c r="H4" s="1177"/>
      <c r="I4" s="1177"/>
      <c r="J4" s="1948" t="s">
        <v>1681</v>
      </c>
      <c r="K4" s="1166"/>
      <c r="L4" s="1166"/>
      <c r="M4" s="1166"/>
      <c r="N4" s="1166"/>
      <c r="O4" s="1166"/>
      <c r="P4" s="1166"/>
      <c r="Q4" s="1166"/>
      <c r="R4" s="1166"/>
    </row>
    <row r="5" spans="1:18" ht="17.45" customHeight="1">
      <c r="A5" s="1178" t="s">
        <v>1614</v>
      </c>
      <c r="B5" s="1179" t="s">
        <v>1615</v>
      </c>
      <c r="C5" s="1180" t="s">
        <v>1616</v>
      </c>
      <c r="D5" s="1181" t="s">
        <v>21</v>
      </c>
      <c r="E5" s="1182" t="s">
        <v>1617</v>
      </c>
      <c r="F5" s="1179" t="s">
        <v>1618</v>
      </c>
      <c r="G5" s="1179" t="s">
        <v>1619</v>
      </c>
      <c r="I5" s="1172"/>
      <c r="J5" s="1166" t="s">
        <v>1682</v>
      </c>
      <c r="K5" s="1166"/>
      <c r="L5" s="1166"/>
      <c r="M5" s="1166"/>
      <c r="N5" s="1166"/>
      <c r="O5" s="1166"/>
      <c r="P5" s="1166"/>
      <c r="Q5" s="1166"/>
      <c r="R5" s="1166"/>
    </row>
    <row r="6" spans="1:18" ht="17.45" customHeight="1">
      <c r="A6" s="1183" t="s">
        <v>1620</v>
      </c>
      <c r="B6" s="1184">
        <v>32</v>
      </c>
      <c r="C6" s="1185">
        <f>B6/B17*1000</f>
        <v>308.00327253477064</v>
      </c>
      <c r="D6" s="1186">
        <f>B6/B17</f>
        <v>0.30800327253477067</v>
      </c>
      <c r="E6" s="1187">
        <f>D6*E4</f>
        <v>3.0800327253477064</v>
      </c>
      <c r="F6" s="1188">
        <v>0</v>
      </c>
      <c r="G6" s="1189">
        <f>E6*F6</f>
        <v>0</v>
      </c>
      <c r="H6" s="1190"/>
      <c r="I6" s="1172"/>
      <c r="J6" s="1166" t="s">
        <v>1683</v>
      </c>
      <c r="K6" s="1166"/>
      <c r="L6" s="1166"/>
      <c r="M6" s="1166"/>
      <c r="N6" s="1166"/>
      <c r="O6" s="1166"/>
      <c r="P6" s="1166"/>
      <c r="Q6" s="1166"/>
      <c r="R6" s="1166"/>
    </row>
    <row r="7" spans="1:18" ht="17.45" customHeight="1">
      <c r="A7" s="1183" t="s">
        <v>1654</v>
      </c>
      <c r="B7" s="1184">
        <v>6</v>
      </c>
      <c r="C7" s="1185">
        <f>B7/B17*1000</f>
        <v>57.750613600269503</v>
      </c>
      <c r="D7" s="1191">
        <f>B7/B17</f>
        <v>5.77506136002695E-2</v>
      </c>
      <c r="E7" s="1187">
        <f>D7*E4</f>
        <v>0.57750613600269496</v>
      </c>
      <c r="F7" s="1188">
        <v>0</v>
      </c>
      <c r="G7" s="1189">
        <f t="shared" ref="G7:G16" si="0">E7*F7</f>
        <v>0</v>
      </c>
      <c r="I7" s="1172"/>
      <c r="J7" s="1166" t="s">
        <v>1684</v>
      </c>
      <c r="K7" s="1166"/>
      <c r="L7" s="1166"/>
      <c r="M7" s="1166"/>
      <c r="N7" s="1166"/>
      <c r="O7" s="1166"/>
      <c r="P7" s="1166"/>
      <c r="Q7" s="1166"/>
      <c r="R7" s="1166"/>
    </row>
    <row r="8" spans="1:18" ht="17.45" customHeight="1">
      <c r="A8" s="1192" t="s">
        <v>1622</v>
      </c>
      <c r="B8" s="1184">
        <v>24</v>
      </c>
      <c r="C8" s="1185">
        <f>B8/B17*1000</f>
        <v>231.00245440107801</v>
      </c>
      <c r="D8" s="1191">
        <f>B8/B17</f>
        <v>0.231002454401078</v>
      </c>
      <c r="E8" s="1187">
        <f>D8*E4</f>
        <v>2.3100245440107798</v>
      </c>
      <c r="F8" s="1188">
        <v>0</v>
      </c>
      <c r="G8" s="1189">
        <f t="shared" si="0"/>
        <v>0</v>
      </c>
      <c r="I8" s="1172"/>
      <c r="J8" s="2642" t="s">
        <v>1685</v>
      </c>
      <c r="K8" s="2642"/>
      <c r="L8" s="2642"/>
      <c r="M8" s="2642"/>
      <c r="N8" s="2642"/>
      <c r="O8" s="2642"/>
      <c r="P8" s="2642"/>
      <c r="Q8" s="2642"/>
      <c r="R8" s="2642"/>
    </row>
    <row r="9" spans="1:18" ht="17.45" customHeight="1">
      <c r="A9" s="1183" t="s">
        <v>1623</v>
      </c>
      <c r="B9" s="1184">
        <v>30</v>
      </c>
      <c r="C9" s="1185">
        <f>B9/B17*1000</f>
        <v>288.75306800134746</v>
      </c>
      <c r="D9" s="1191">
        <f>B9/B17</f>
        <v>0.28875306800134748</v>
      </c>
      <c r="E9" s="1187">
        <f>D9*E4</f>
        <v>2.8875306800134748</v>
      </c>
      <c r="F9" s="1188">
        <v>0</v>
      </c>
      <c r="G9" s="1189">
        <f t="shared" si="0"/>
        <v>0</v>
      </c>
      <c r="I9" s="1172"/>
      <c r="J9" s="1172"/>
    </row>
    <row r="10" spans="1:18" ht="17.45" customHeight="1">
      <c r="A10" s="1183" t="s">
        <v>579</v>
      </c>
      <c r="B10" s="1184">
        <v>6</v>
      </c>
      <c r="C10" s="1185">
        <f>B10/B17*1000</f>
        <v>57.750613600269503</v>
      </c>
      <c r="D10" s="1191">
        <f>B10/B17</f>
        <v>5.77506136002695E-2</v>
      </c>
      <c r="E10" s="1187">
        <f>D10*E4</f>
        <v>0.57750613600269496</v>
      </c>
      <c r="F10" s="1188">
        <v>0</v>
      </c>
      <c r="G10" s="1189">
        <f t="shared" si="0"/>
        <v>0</v>
      </c>
      <c r="I10" s="1172"/>
      <c r="J10" s="1172"/>
    </row>
    <row r="11" spans="1:18" ht="17.45" customHeight="1">
      <c r="A11" s="1183" t="s">
        <v>1624</v>
      </c>
      <c r="B11" s="1184">
        <v>1.65</v>
      </c>
      <c r="C11" s="1185">
        <f>B11/B17*1000</f>
        <v>15.88141874007411</v>
      </c>
      <c r="D11" s="1191">
        <f>B11/B17</f>
        <v>1.5881418740074111E-2</v>
      </c>
      <c r="E11" s="1187">
        <f>D11*E4</f>
        <v>0.1588141874007411</v>
      </c>
      <c r="F11" s="1188">
        <v>0</v>
      </c>
      <c r="G11" s="1189">
        <f t="shared" si="0"/>
        <v>0</v>
      </c>
      <c r="I11" s="1172"/>
      <c r="J11" s="1172"/>
    </row>
    <row r="12" spans="1:18" ht="17.45" customHeight="1">
      <c r="A12" s="1183" t="s">
        <v>1625</v>
      </c>
      <c r="B12" s="1184">
        <v>0.12</v>
      </c>
      <c r="C12" s="1185">
        <f>B12/B17*1000</f>
        <v>1.1550122720053899</v>
      </c>
      <c r="D12" s="1191">
        <f>B12/B17</f>
        <v>1.15501227200539E-3</v>
      </c>
      <c r="E12" s="1187">
        <f>D12*E4</f>
        <v>1.15501227200539E-2</v>
      </c>
      <c r="F12" s="1188">
        <v>0</v>
      </c>
      <c r="G12" s="1189">
        <f t="shared" si="0"/>
        <v>0</v>
      </c>
      <c r="I12" s="1172"/>
      <c r="J12" s="1172"/>
    </row>
    <row r="13" spans="1:18" ht="17.45" customHeight="1">
      <c r="A13" s="1183" t="s">
        <v>1626</v>
      </c>
      <c r="B13" s="1184">
        <v>0.1</v>
      </c>
      <c r="C13" s="1185">
        <f>B13/B17*1000</f>
        <v>0.96251022667115838</v>
      </c>
      <c r="D13" s="1191">
        <f>B13/B17</f>
        <v>9.6251022667115838E-4</v>
      </c>
      <c r="E13" s="1187">
        <f>D13*E4</f>
        <v>9.6251022667115833E-3</v>
      </c>
      <c r="F13" s="1188">
        <v>0</v>
      </c>
      <c r="G13" s="1189">
        <f t="shared" si="0"/>
        <v>0</v>
      </c>
      <c r="I13" s="1172"/>
      <c r="J13" s="1172"/>
    </row>
    <row r="14" spans="1:18" ht="17.45" customHeight="1">
      <c r="A14" s="1183" t="s">
        <v>1627</v>
      </c>
      <c r="B14" s="1184">
        <v>0.8</v>
      </c>
      <c r="C14" s="1185">
        <f>B14/B17*1000</f>
        <v>7.700081813369267</v>
      </c>
      <c r="D14" s="1191">
        <f>B14/B17</f>
        <v>7.700081813369267E-3</v>
      </c>
      <c r="E14" s="1187">
        <f>D14*E4</f>
        <v>7.7000818133692667E-2</v>
      </c>
      <c r="F14" s="1188">
        <v>0</v>
      </c>
      <c r="G14" s="1189">
        <f t="shared" si="0"/>
        <v>0</v>
      </c>
    </row>
    <row r="15" spans="1:18" ht="17.45" customHeight="1">
      <c r="A15" s="1183" t="s">
        <v>1628</v>
      </c>
      <c r="B15" s="1184">
        <v>2.5000000000000001E-2</v>
      </c>
      <c r="C15" s="1185">
        <f>B15/B17*1000</f>
        <v>0.24062755666778959</v>
      </c>
      <c r="D15" s="1191">
        <f>B15/B17</f>
        <v>2.4062755666778959E-4</v>
      </c>
      <c r="E15" s="1187">
        <f>D15*E4</f>
        <v>2.4062755666778958E-3</v>
      </c>
      <c r="F15" s="1188">
        <v>0</v>
      </c>
      <c r="G15" s="1189">
        <f t="shared" si="0"/>
        <v>0</v>
      </c>
    </row>
    <row r="16" spans="1:18" ht="17.45" customHeight="1">
      <c r="A16" s="1183" t="s">
        <v>1677</v>
      </c>
      <c r="B16" s="1184">
        <v>3.2</v>
      </c>
      <c r="C16" s="1185">
        <f>B16/B17*1000</f>
        <v>30.800327253477068</v>
      </c>
      <c r="D16" s="1191">
        <f>B16/B17</f>
        <v>3.0800327253477068E-2</v>
      </c>
      <c r="E16" s="1187">
        <f>D16*E4</f>
        <v>0.30800327253477067</v>
      </c>
      <c r="F16" s="1188">
        <v>0</v>
      </c>
      <c r="G16" s="1189">
        <f t="shared" si="0"/>
        <v>0</v>
      </c>
    </row>
    <row r="17" spans="1:10" ht="17.45" customHeight="1">
      <c r="A17" s="1193" t="s">
        <v>22</v>
      </c>
      <c r="B17" s="1194">
        <f>SUM(B6:B16)</f>
        <v>103.89500000000001</v>
      </c>
      <c r="C17" s="1195">
        <f>SUM(C6:C16)</f>
        <v>999.99999999999989</v>
      </c>
      <c r="D17" s="1191">
        <f>SUM(D6:D16)</f>
        <v>0.99999999999999978</v>
      </c>
      <c r="E17" s="1196">
        <f>SUM(E6:E16)</f>
        <v>10</v>
      </c>
      <c r="F17" s="1189">
        <f>G17/E17</f>
        <v>0</v>
      </c>
      <c r="G17" s="1189">
        <f>SUM(G6:G16)</f>
        <v>0</v>
      </c>
      <c r="I17" s="1172"/>
      <c r="J17" s="1172"/>
    </row>
    <row r="18" spans="1:10" ht="17.45" customHeight="1">
      <c r="A18" s="1197"/>
      <c r="B18" s="1198"/>
      <c r="C18" s="1198"/>
      <c r="D18" s="1199"/>
      <c r="E18" s="1200"/>
      <c r="F18" s="1200"/>
      <c r="G18" s="1200"/>
      <c r="H18" s="1201"/>
      <c r="I18" s="1172"/>
      <c r="J18" s="1172"/>
    </row>
    <row r="19" spans="1:10" ht="17.45" customHeight="1">
      <c r="A19" s="1202" t="s">
        <v>1629</v>
      </c>
      <c r="B19" s="1172"/>
      <c r="C19" s="1203"/>
      <c r="G19" s="1203"/>
      <c r="H19" s="1201"/>
      <c r="I19" s="1172"/>
      <c r="J19" s="1172"/>
    </row>
    <row r="20" spans="1:10" ht="17.45" customHeight="1">
      <c r="A20" s="1204" t="s">
        <v>1630</v>
      </c>
      <c r="B20" s="1205"/>
      <c r="C20" s="1205"/>
      <c r="G20" s="1203"/>
      <c r="H20" s="1201"/>
      <c r="I20" s="1172"/>
      <c r="J20" s="1172"/>
    </row>
    <row r="21" spans="1:10" ht="17.45" customHeight="1">
      <c r="A21" s="1204" t="s">
        <v>1631</v>
      </c>
      <c r="B21" s="1205"/>
      <c r="C21" s="1205"/>
      <c r="G21" s="1203"/>
      <c r="H21" s="1201"/>
      <c r="I21" s="1172"/>
      <c r="J21" s="1172"/>
    </row>
    <row r="22" spans="1:10" ht="17.45" customHeight="1">
      <c r="A22" s="1206" t="s">
        <v>1632</v>
      </c>
      <c r="B22" s="1207"/>
      <c r="C22" s="1207"/>
      <c r="D22" s="1208"/>
      <c r="E22" s="1209"/>
      <c r="F22" s="1209"/>
      <c r="G22" s="1210"/>
      <c r="H22" s="1210"/>
      <c r="I22" s="1172"/>
      <c r="J22" s="1172"/>
    </row>
    <row r="23" spans="1:10" ht="17.45" customHeight="1">
      <c r="A23" s="1211" t="s">
        <v>1678</v>
      </c>
      <c r="B23" s="1212"/>
      <c r="C23" s="1211"/>
      <c r="D23" s="1211"/>
      <c r="E23" s="1211"/>
      <c r="F23" s="1211"/>
      <c r="H23" s="1172"/>
      <c r="I23" s="1172"/>
      <c r="J23" s="1172"/>
    </row>
    <row r="24" spans="1:10" ht="17.45" customHeight="1">
      <c r="A24" s="1211" t="s">
        <v>1679</v>
      </c>
      <c r="B24" s="1213"/>
      <c r="C24" s="1211"/>
      <c r="D24" s="1211"/>
      <c r="E24" s="1211"/>
      <c r="F24" s="1211"/>
      <c r="H24" s="1172"/>
      <c r="I24" s="1172"/>
      <c r="J24" s="1172"/>
    </row>
    <row r="25" spans="1:10" ht="17.45" customHeight="1">
      <c r="A25" s="1214" t="s">
        <v>1635</v>
      </c>
      <c r="B25" s="1172"/>
      <c r="C25" s="1172"/>
      <c r="D25" s="1172"/>
      <c r="E25" s="1177"/>
      <c r="F25" s="1177"/>
      <c r="G25" s="1215" t="s">
        <v>1636</v>
      </c>
      <c r="H25" s="1172"/>
      <c r="I25" s="1172"/>
      <c r="J25" s="1172"/>
    </row>
    <row r="26" spans="1:10" ht="17.45" customHeight="1">
      <c r="A26" s="1214" t="s">
        <v>1637</v>
      </c>
      <c r="B26" s="1216" t="s">
        <v>1638</v>
      </c>
      <c r="C26" s="1216" t="s">
        <v>522</v>
      </c>
      <c r="D26" s="1217"/>
      <c r="E26" s="1172"/>
      <c r="F26" s="1172"/>
      <c r="H26" s="1172"/>
      <c r="I26" s="1172"/>
      <c r="J26" s="1172"/>
    </row>
    <row r="27" spans="1:10" ht="17.45" customHeight="1">
      <c r="A27" s="1218"/>
      <c r="B27" s="1216" t="s">
        <v>1639</v>
      </c>
      <c r="C27" s="1216" t="s">
        <v>1640</v>
      </c>
      <c r="D27" s="1217"/>
      <c r="E27" s="1172"/>
      <c r="F27" s="1172"/>
      <c r="H27" s="1172"/>
      <c r="I27" s="1172"/>
      <c r="J27" s="1172"/>
    </row>
    <row r="28" spans="1:10" ht="17.45" customHeight="1">
      <c r="A28" s="1214" t="s">
        <v>1641</v>
      </c>
      <c r="D28" s="1172"/>
      <c r="E28" s="1177"/>
      <c r="F28" s="1177"/>
      <c r="H28" s="1172"/>
      <c r="I28" s="1172"/>
      <c r="J28" s="1172"/>
    </row>
    <row r="30" spans="1:10" ht="17.45" customHeight="1">
      <c r="A30" s="1215" t="s">
        <v>1642</v>
      </c>
    </row>
    <row r="31" spans="1:10" ht="17.45" customHeight="1">
      <c r="A31" s="1173" t="s">
        <v>1643</v>
      </c>
      <c r="G31" s="1215" t="s">
        <v>1644</v>
      </c>
    </row>
    <row r="32" spans="1:10" ht="17.45" customHeight="1">
      <c r="A32" s="1173" t="s">
        <v>1645</v>
      </c>
    </row>
    <row r="33" spans="1:1" ht="17.45" customHeight="1">
      <c r="A33" s="1173" t="s">
        <v>1646</v>
      </c>
    </row>
    <row r="34" spans="1:1" ht="17.45" customHeight="1">
      <c r="A34" s="1173" t="s">
        <v>1647</v>
      </c>
    </row>
    <row r="36" spans="1:1" ht="17.45" customHeight="1">
      <c r="A36" s="1173" t="s">
        <v>1648</v>
      </c>
    </row>
    <row r="37" spans="1:1" ht="17.45" customHeight="1">
      <c r="A37" s="1173" t="s">
        <v>1649</v>
      </c>
    </row>
    <row r="38" spans="1:1" ht="17.45" customHeight="1">
      <c r="A38" s="1173" t="s">
        <v>1650</v>
      </c>
    </row>
    <row r="39" spans="1:1" ht="17.45" customHeight="1">
      <c r="A39" s="1173" t="s">
        <v>1651</v>
      </c>
    </row>
  </sheetData>
  <mergeCells count="1">
    <mergeCell ref="J8:R8"/>
  </mergeCells>
  <hyperlinks>
    <hyperlink ref="J8" r:id="rId1" display="http://michelmariette.over-blog.fr/"/>
  </hyperlinks>
  <printOptions horizontalCentered="1"/>
  <pageMargins left="0.23622047244094491" right="7.874015748031496E-2" top="7.874015748031496E-2" bottom="0.11811023622047245" header="0.11811023622047245" footer="7.874015748031496E-2"/>
  <pageSetup paperSize="9" orientation="portrait" blackAndWhite="1" horizontalDpi="240" verticalDpi="144"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Q39"/>
  <sheetViews>
    <sheetView showGridLines="0" workbookViewId="0">
      <selection activeCell="K29" sqref="K29"/>
    </sheetView>
  </sheetViews>
  <sheetFormatPr baseColWidth="10" defaultColWidth="18.85546875" defaultRowHeight="16.899999999999999" customHeight="1"/>
  <cols>
    <col min="1" max="1" width="37.140625" style="1244" customWidth="1"/>
    <col min="2" max="256" width="18.85546875" style="1216"/>
    <col min="257" max="257" width="37.140625" style="1216" customWidth="1"/>
    <col min="258" max="512" width="18.85546875" style="1216"/>
    <col min="513" max="513" width="37.140625" style="1216" customWidth="1"/>
    <col min="514" max="768" width="18.85546875" style="1216"/>
    <col min="769" max="769" width="37.140625" style="1216" customWidth="1"/>
    <col min="770" max="1024" width="18.85546875" style="1216"/>
    <col min="1025" max="1025" width="37.140625" style="1216" customWidth="1"/>
    <col min="1026" max="1280" width="18.85546875" style="1216"/>
    <col min="1281" max="1281" width="37.140625" style="1216" customWidth="1"/>
    <col min="1282" max="1536" width="18.85546875" style="1216"/>
    <col min="1537" max="1537" width="37.140625" style="1216" customWidth="1"/>
    <col min="1538" max="1792" width="18.85546875" style="1216"/>
    <col min="1793" max="1793" width="37.140625" style="1216" customWidth="1"/>
    <col min="1794" max="2048" width="18.85546875" style="1216"/>
    <col min="2049" max="2049" width="37.140625" style="1216" customWidth="1"/>
    <col min="2050" max="2304" width="18.85546875" style="1216"/>
    <col min="2305" max="2305" width="37.140625" style="1216" customWidth="1"/>
    <col min="2306" max="2560" width="18.85546875" style="1216"/>
    <col min="2561" max="2561" width="37.140625" style="1216" customWidth="1"/>
    <col min="2562" max="2816" width="18.85546875" style="1216"/>
    <col min="2817" max="2817" width="37.140625" style="1216" customWidth="1"/>
    <col min="2818" max="3072" width="18.85546875" style="1216"/>
    <col min="3073" max="3073" width="37.140625" style="1216" customWidth="1"/>
    <col min="3074" max="3328" width="18.85546875" style="1216"/>
    <col min="3329" max="3329" width="37.140625" style="1216" customWidth="1"/>
    <col min="3330" max="3584" width="18.85546875" style="1216"/>
    <col min="3585" max="3585" width="37.140625" style="1216" customWidth="1"/>
    <col min="3586" max="3840" width="18.85546875" style="1216"/>
    <col min="3841" max="3841" width="37.140625" style="1216" customWidth="1"/>
    <col min="3842" max="4096" width="18.85546875" style="1216"/>
    <col min="4097" max="4097" width="37.140625" style="1216" customWidth="1"/>
    <col min="4098" max="4352" width="18.85546875" style="1216"/>
    <col min="4353" max="4353" width="37.140625" style="1216" customWidth="1"/>
    <col min="4354" max="4608" width="18.85546875" style="1216"/>
    <col min="4609" max="4609" width="37.140625" style="1216" customWidth="1"/>
    <col min="4610" max="4864" width="18.85546875" style="1216"/>
    <col min="4865" max="4865" width="37.140625" style="1216" customWidth="1"/>
    <col min="4866" max="5120" width="18.85546875" style="1216"/>
    <col min="5121" max="5121" width="37.140625" style="1216" customWidth="1"/>
    <col min="5122" max="5376" width="18.85546875" style="1216"/>
    <col min="5377" max="5377" width="37.140625" style="1216" customWidth="1"/>
    <col min="5378" max="5632" width="18.85546875" style="1216"/>
    <col min="5633" max="5633" width="37.140625" style="1216" customWidth="1"/>
    <col min="5634" max="5888" width="18.85546875" style="1216"/>
    <col min="5889" max="5889" width="37.140625" style="1216" customWidth="1"/>
    <col min="5890" max="6144" width="18.85546875" style="1216"/>
    <col min="6145" max="6145" width="37.140625" style="1216" customWidth="1"/>
    <col min="6146" max="6400" width="18.85546875" style="1216"/>
    <col min="6401" max="6401" width="37.140625" style="1216" customWidth="1"/>
    <col min="6402" max="6656" width="18.85546875" style="1216"/>
    <col min="6657" max="6657" width="37.140625" style="1216" customWidth="1"/>
    <col min="6658" max="6912" width="18.85546875" style="1216"/>
    <col min="6913" max="6913" width="37.140625" style="1216" customWidth="1"/>
    <col min="6914" max="7168" width="18.85546875" style="1216"/>
    <col min="7169" max="7169" width="37.140625" style="1216" customWidth="1"/>
    <col min="7170" max="7424" width="18.85546875" style="1216"/>
    <col min="7425" max="7425" width="37.140625" style="1216" customWidth="1"/>
    <col min="7426" max="7680" width="18.85546875" style="1216"/>
    <col min="7681" max="7681" width="37.140625" style="1216" customWidth="1"/>
    <col min="7682" max="7936" width="18.85546875" style="1216"/>
    <col min="7937" max="7937" width="37.140625" style="1216" customWidth="1"/>
    <col min="7938" max="8192" width="18.85546875" style="1216"/>
    <col min="8193" max="8193" width="37.140625" style="1216" customWidth="1"/>
    <col min="8194" max="8448" width="18.85546875" style="1216"/>
    <col min="8449" max="8449" width="37.140625" style="1216" customWidth="1"/>
    <col min="8450" max="8704" width="18.85546875" style="1216"/>
    <col min="8705" max="8705" width="37.140625" style="1216" customWidth="1"/>
    <col min="8706" max="8960" width="18.85546875" style="1216"/>
    <col min="8961" max="8961" width="37.140625" style="1216" customWidth="1"/>
    <col min="8962" max="9216" width="18.85546875" style="1216"/>
    <col min="9217" max="9217" width="37.140625" style="1216" customWidth="1"/>
    <col min="9218" max="9472" width="18.85546875" style="1216"/>
    <col min="9473" max="9473" width="37.140625" style="1216" customWidth="1"/>
    <col min="9474" max="9728" width="18.85546875" style="1216"/>
    <col min="9729" max="9729" width="37.140625" style="1216" customWidth="1"/>
    <col min="9730" max="9984" width="18.85546875" style="1216"/>
    <col min="9985" max="9985" width="37.140625" style="1216" customWidth="1"/>
    <col min="9986" max="10240" width="18.85546875" style="1216"/>
    <col min="10241" max="10241" width="37.140625" style="1216" customWidth="1"/>
    <col min="10242" max="10496" width="18.85546875" style="1216"/>
    <col min="10497" max="10497" width="37.140625" style="1216" customWidth="1"/>
    <col min="10498" max="10752" width="18.85546875" style="1216"/>
    <col min="10753" max="10753" width="37.140625" style="1216" customWidth="1"/>
    <col min="10754" max="11008" width="18.85546875" style="1216"/>
    <col min="11009" max="11009" width="37.140625" style="1216" customWidth="1"/>
    <col min="11010" max="11264" width="18.85546875" style="1216"/>
    <col min="11265" max="11265" width="37.140625" style="1216" customWidth="1"/>
    <col min="11266" max="11520" width="18.85546875" style="1216"/>
    <col min="11521" max="11521" width="37.140625" style="1216" customWidth="1"/>
    <col min="11522" max="11776" width="18.85546875" style="1216"/>
    <col min="11777" max="11777" width="37.140625" style="1216" customWidth="1"/>
    <col min="11778" max="12032" width="18.85546875" style="1216"/>
    <col min="12033" max="12033" width="37.140625" style="1216" customWidth="1"/>
    <col min="12034" max="12288" width="18.85546875" style="1216"/>
    <col min="12289" max="12289" width="37.140625" style="1216" customWidth="1"/>
    <col min="12290" max="12544" width="18.85546875" style="1216"/>
    <col min="12545" max="12545" width="37.140625" style="1216" customWidth="1"/>
    <col min="12546" max="12800" width="18.85546875" style="1216"/>
    <col min="12801" max="12801" width="37.140625" style="1216" customWidth="1"/>
    <col min="12802" max="13056" width="18.85546875" style="1216"/>
    <col min="13057" max="13057" width="37.140625" style="1216" customWidth="1"/>
    <col min="13058" max="13312" width="18.85546875" style="1216"/>
    <col min="13313" max="13313" width="37.140625" style="1216" customWidth="1"/>
    <col min="13314" max="13568" width="18.85546875" style="1216"/>
    <col min="13569" max="13569" width="37.140625" style="1216" customWidth="1"/>
    <col min="13570" max="13824" width="18.85546875" style="1216"/>
    <col min="13825" max="13825" width="37.140625" style="1216" customWidth="1"/>
    <col min="13826" max="14080" width="18.85546875" style="1216"/>
    <col min="14081" max="14081" width="37.140625" style="1216" customWidth="1"/>
    <col min="14082" max="14336" width="18.85546875" style="1216"/>
    <col min="14337" max="14337" width="37.140625" style="1216" customWidth="1"/>
    <col min="14338" max="14592" width="18.85546875" style="1216"/>
    <col min="14593" max="14593" width="37.140625" style="1216" customWidth="1"/>
    <col min="14594" max="14848" width="18.85546875" style="1216"/>
    <col min="14849" max="14849" width="37.140625" style="1216" customWidth="1"/>
    <col min="14850" max="15104" width="18.85546875" style="1216"/>
    <col min="15105" max="15105" width="37.140625" style="1216" customWidth="1"/>
    <col min="15106" max="15360" width="18.85546875" style="1216"/>
    <col min="15361" max="15361" width="37.140625" style="1216" customWidth="1"/>
    <col min="15362" max="15616" width="18.85546875" style="1216"/>
    <col min="15617" max="15617" width="37.140625" style="1216" customWidth="1"/>
    <col min="15618" max="15872" width="18.85546875" style="1216"/>
    <col min="15873" max="15873" width="37.140625" style="1216" customWidth="1"/>
    <col min="15874" max="16128" width="18.85546875" style="1216"/>
    <col min="16129" max="16129" width="37.140625" style="1216" customWidth="1"/>
    <col min="16130" max="16384" width="18.85546875" style="1216"/>
  </cols>
  <sheetData>
    <row r="1" spans="1:17" s="1161" customFormat="1" ht="21" customHeight="1">
      <c r="A1" s="1160" t="s">
        <v>1609</v>
      </c>
      <c r="C1" s="1235" t="s">
        <v>1652</v>
      </c>
      <c r="F1" s="1161" t="s">
        <v>1611</v>
      </c>
      <c r="H1" s="1236"/>
      <c r="I1" s="1237"/>
    </row>
    <row r="2" spans="1:17" s="1161" customFormat="1" ht="16.899999999999999" customHeight="1">
      <c r="A2" s="1219" t="s">
        <v>1667</v>
      </c>
    </row>
    <row r="3" spans="1:17" ht="16.899999999999999" customHeight="1">
      <c r="A3" s="1206"/>
      <c r="E3" s="1171" t="s">
        <v>1613</v>
      </c>
    </row>
    <row r="4" spans="1:17" ht="16.899999999999999" customHeight="1">
      <c r="A4" s="1238"/>
      <c r="B4" s="1239"/>
      <c r="C4" s="1239"/>
      <c r="E4" s="1174">
        <v>15</v>
      </c>
      <c r="F4" s="1240"/>
      <c r="G4" s="1241"/>
      <c r="H4" s="1217"/>
      <c r="I4" s="1217"/>
      <c r="J4" s="1217"/>
    </row>
    <row r="5" spans="1:17" ht="16.899999999999999" customHeight="1">
      <c r="A5" s="1193" t="s">
        <v>1614</v>
      </c>
      <c r="B5" s="1179" t="s">
        <v>1615</v>
      </c>
      <c r="C5" s="1180" t="s">
        <v>1616</v>
      </c>
      <c r="D5" s="1181" t="s">
        <v>21</v>
      </c>
      <c r="E5" s="1242" t="s">
        <v>1617</v>
      </c>
      <c r="F5" s="1179" t="s">
        <v>1618</v>
      </c>
      <c r="G5" s="1179" t="s">
        <v>1619</v>
      </c>
      <c r="I5" s="1948" t="s">
        <v>1681</v>
      </c>
      <c r="J5" s="1166"/>
      <c r="K5" s="1166"/>
      <c r="L5" s="1166"/>
      <c r="M5" s="1166"/>
      <c r="N5" s="1166"/>
      <c r="O5" s="1166"/>
      <c r="P5" s="1166"/>
      <c r="Q5" s="1166"/>
    </row>
    <row r="6" spans="1:17" ht="16.899999999999999" customHeight="1">
      <c r="A6" s="1224" t="s">
        <v>1620</v>
      </c>
      <c r="B6" s="1184">
        <v>21</v>
      </c>
      <c r="C6" s="1185">
        <f>B6/B17*1000</f>
        <v>202.55606462503016</v>
      </c>
      <c r="D6" s="1186">
        <f>B6/B17</f>
        <v>0.20255606462503015</v>
      </c>
      <c r="E6" s="1243">
        <f>D6*E4</f>
        <v>3.0383409693754522</v>
      </c>
      <c r="F6" s="1188">
        <v>0</v>
      </c>
      <c r="G6" s="1189">
        <f t="shared" ref="G6:G16" si="0">E6*F6</f>
        <v>0</v>
      </c>
      <c r="I6" s="1166" t="s">
        <v>1682</v>
      </c>
      <c r="J6" s="1166"/>
      <c r="K6" s="1166"/>
      <c r="L6" s="1166"/>
      <c r="M6" s="1166"/>
      <c r="N6" s="1166"/>
      <c r="O6" s="1166"/>
      <c r="P6" s="1166"/>
      <c r="Q6" s="1166"/>
    </row>
    <row r="7" spans="1:17" ht="16.899999999999999" customHeight="1">
      <c r="A7" s="1224" t="s">
        <v>1668</v>
      </c>
      <c r="B7" s="1184">
        <v>18</v>
      </c>
      <c r="C7" s="1185">
        <f>B7/B17*1000</f>
        <v>173.61948396431157</v>
      </c>
      <c r="D7" s="1191">
        <f>B7/B17</f>
        <v>0.17361948396431157</v>
      </c>
      <c r="E7" s="1243">
        <f>D7*E4</f>
        <v>2.6042922594646734</v>
      </c>
      <c r="F7" s="1188">
        <v>0</v>
      </c>
      <c r="G7" s="1189">
        <f t="shared" si="0"/>
        <v>0</v>
      </c>
      <c r="I7" s="1166" t="s">
        <v>1683</v>
      </c>
      <c r="J7" s="1166"/>
      <c r="K7" s="1166"/>
      <c r="L7" s="1166"/>
      <c r="M7" s="1166"/>
      <c r="N7" s="1166"/>
      <c r="O7" s="1166"/>
      <c r="P7" s="1166"/>
      <c r="Q7" s="1166"/>
    </row>
    <row r="8" spans="1:17" ht="16.899999999999999" customHeight="1">
      <c r="A8" s="1244" t="s">
        <v>1622</v>
      </c>
      <c r="B8" s="1184">
        <v>26</v>
      </c>
      <c r="C8" s="1185">
        <f>B8/B17*1000</f>
        <v>250.78369905956117</v>
      </c>
      <c r="D8" s="1191">
        <f>B8/B17</f>
        <v>0.25078369905956116</v>
      </c>
      <c r="E8" s="1243">
        <f>D8*E4</f>
        <v>3.7617554858934175</v>
      </c>
      <c r="F8" s="1188">
        <v>0</v>
      </c>
      <c r="G8" s="1189">
        <f t="shared" si="0"/>
        <v>0</v>
      </c>
      <c r="I8" s="1166" t="s">
        <v>1684</v>
      </c>
      <c r="J8" s="1166"/>
      <c r="K8" s="1166"/>
      <c r="L8" s="1166"/>
      <c r="M8" s="1166"/>
      <c r="N8" s="1166"/>
      <c r="O8" s="1166"/>
      <c r="P8" s="1166"/>
      <c r="Q8" s="1166"/>
    </row>
    <row r="9" spans="1:17" ht="16.899999999999999" customHeight="1">
      <c r="A9" s="1224" t="s">
        <v>1623</v>
      </c>
      <c r="B9" s="1184">
        <v>30</v>
      </c>
      <c r="C9" s="1185">
        <f>B9/B17*1000</f>
        <v>289.3658066071859</v>
      </c>
      <c r="D9" s="1191">
        <f>B9/B17</f>
        <v>0.28936580660718592</v>
      </c>
      <c r="E9" s="1243">
        <f>D9*E4</f>
        <v>4.3404870991077891</v>
      </c>
      <c r="F9" s="1188">
        <v>0</v>
      </c>
      <c r="G9" s="1189">
        <f t="shared" si="0"/>
        <v>0</v>
      </c>
      <c r="I9" s="2642" t="s">
        <v>1685</v>
      </c>
      <c r="J9" s="2642"/>
      <c r="K9" s="2642"/>
      <c r="L9" s="2642"/>
      <c r="M9" s="2642"/>
      <c r="N9" s="2642"/>
      <c r="O9" s="2642"/>
      <c r="P9" s="2642"/>
      <c r="Q9" s="2642"/>
    </row>
    <row r="10" spans="1:17" ht="16.899999999999999" customHeight="1">
      <c r="A10" s="1224" t="s">
        <v>579</v>
      </c>
      <c r="B10" s="1184">
        <v>6</v>
      </c>
      <c r="C10" s="1185">
        <f>B10/B17*1000</f>
        <v>57.873161321437181</v>
      </c>
      <c r="D10" s="1191">
        <f>B10/B17</f>
        <v>5.7873161321437182E-2</v>
      </c>
      <c r="E10" s="1243">
        <f>D10*E4</f>
        <v>0.86809741982155775</v>
      </c>
      <c r="F10" s="1188">
        <v>0</v>
      </c>
      <c r="G10" s="1189">
        <f t="shared" si="0"/>
        <v>0</v>
      </c>
      <c r="I10" s="1239"/>
      <c r="J10" s="1239"/>
    </row>
    <row r="11" spans="1:17" ht="16.899999999999999" customHeight="1">
      <c r="A11" s="1224" t="s">
        <v>1669</v>
      </c>
      <c r="B11" s="1184">
        <v>1.65</v>
      </c>
      <c r="C11" s="1185">
        <f>B11/B17*1000</f>
        <v>15.915119363395226</v>
      </c>
      <c r="D11" s="1191">
        <f>B11/B17</f>
        <v>1.5915119363395226E-2</v>
      </c>
      <c r="E11" s="1243">
        <f>D11*E4</f>
        <v>0.23872679045092837</v>
      </c>
      <c r="F11" s="1188">
        <v>0</v>
      </c>
      <c r="G11" s="1189">
        <f t="shared" si="0"/>
        <v>0</v>
      </c>
      <c r="I11" s="1239"/>
      <c r="J11" s="1239"/>
    </row>
    <row r="12" spans="1:17" ht="16.899999999999999" customHeight="1">
      <c r="A12" s="1224" t="s">
        <v>1625</v>
      </c>
      <c r="B12" s="1184">
        <v>0.1</v>
      </c>
      <c r="C12" s="1185">
        <f>B12/B17*1000</f>
        <v>0.96455268869061972</v>
      </c>
      <c r="D12" s="1191">
        <f>B12/B17</f>
        <v>9.6455268869061975E-4</v>
      </c>
      <c r="E12" s="1243">
        <f>D12*E4</f>
        <v>1.4468290330359297E-2</v>
      </c>
      <c r="F12" s="1188">
        <v>0</v>
      </c>
      <c r="G12" s="1189">
        <f t="shared" si="0"/>
        <v>0</v>
      </c>
      <c r="I12" s="1239"/>
      <c r="J12" s="1239"/>
    </row>
    <row r="13" spans="1:17" ht="16.899999999999999" customHeight="1">
      <c r="A13" s="1224" t="s">
        <v>1626</v>
      </c>
      <c r="B13" s="1184">
        <v>0.1</v>
      </c>
      <c r="C13" s="1185">
        <f>B13/B17*1000</f>
        <v>0.96455268869061972</v>
      </c>
      <c r="D13" s="1191">
        <f>B13/B17</f>
        <v>9.6455268869061975E-4</v>
      </c>
      <c r="E13" s="1243">
        <f>D13*E4</f>
        <v>1.4468290330359297E-2</v>
      </c>
      <c r="F13" s="1188">
        <v>0</v>
      </c>
      <c r="G13" s="1189">
        <f t="shared" si="0"/>
        <v>0</v>
      </c>
      <c r="I13" s="1239"/>
      <c r="J13" s="1239"/>
    </row>
    <row r="14" spans="1:17" ht="16.899999999999999" customHeight="1">
      <c r="A14" s="1224" t="s">
        <v>1670</v>
      </c>
      <c r="B14" s="1184">
        <v>0.6</v>
      </c>
      <c r="C14" s="1185">
        <f>B14/B17*1000</f>
        <v>5.7873161321437188</v>
      </c>
      <c r="D14" s="1191">
        <f>B14/B17</f>
        <v>5.7873161321437185E-3</v>
      </c>
      <c r="E14" s="1243">
        <f>D14*E4</f>
        <v>8.6809741982155783E-2</v>
      </c>
      <c r="F14" s="1188">
        <v>0</v>
      </c>
      <c r="G14" s="1189">
        <f t="shared" si="0"/>
        <v>0</v>
      </c>
    </row>
    <row r="15" spans="1:17" ht="16.899999999999999" customHeight="1">
      <c r="A15" s="1224" t="s">
        <v>1628</v>
      </c>
      <c r="B15" s="1184">
        <v>2.5000000000000001E-2</v>
      </c>
      <c r="C15" s="1185">
        <f>B15/B17*1000</f>
        <v>0.24113817217265493</v>
      </c>
      <c r="D15" s="1191">
        <f>B15/B17</f>
        <v>2.4113817217265494E-4</v>
      </c>
      <c r="E15" s="1243">
        <f>D15*E4</f>
        <v>3.6170725825898243E-3</v>
      </c>
      <c r="F15" s="1188">
        <v>0</v>
      </c>
      <c r="G15" s="1189">
        <f t="shared" si="0"/>
        <v>0</v>
      </c>
    </row>
    <row r="16" spans="1:17" ht="16.899999999999999" customHeight="1">
      <c r="A16" s="1224" t="s">
        <v>1671</v>
      </c>
      <c r="B16" s="1184">
        <v>0.2</v>
      </c>
      <c r="C16" s="1185">
        <f>B16/B17*1000</f>
        <v>1.9291053773812394</v>
      </c>
      <c r="D16" s="1191">
        <f>B16/B17</f>
        <v>1.9291053773812395E-3</v>
      </c>
      <c r="E16" s="1243">
        <f>D16*E4</f>
        <v>2.8936580660718594E-2</v>
      </c>
      <c r="F16" s="1188">
        <v>0</v>
      </c>
      <c r="G16" s="1189">
        <f t="shared" si="0"/>
        <v>0</v>
      </c>
    </row>
    <row r="17" spans="1:10" ht="16.899999999999999" customHeight="1">
      <c r="A17" s="1193" t="s">
        <v>22</v>
      </c>
      <c r="B17" s="1194">
        <f>SUM(B6:B16)</f>
        <v>103.675</v>
      </c>
      <c r="C17" s="1195">
        <f>SUM(C6:C16)</f>
        <v>1000.0000000000002</v>
      </c>
      <c r="D17" s="1191">
        <f>SUM(D6:D16)</f>
        <v>1</v>
      </c>
      <c r="E17" s="1245">
        <f>SUM(E6:E16)</f>
        <v>15.000000000000002</v>
      </c>
      <c r="F17" s="1189">
        <f>G17/E17</f>
        <v>0</v>
      </c>
      <c r="G17" s="1189">
        <f>SUM(G6:G16)</f>
        <v>0</v>
      </c>
      <c r="I17" s="1239"/>
      <c r="J17" s="1239"/>
    </row>
    <row r="18" spans="1:10" ht="16.899999999999999" customHeight="1">
      <c r="A18" s="1246"/>
      <c r="B18" s="1247"/>
      <c r="C18" s="1247"/>
      <c r="D18" s="1248"/>
      <c r="H18" s="1249"/>
      <c r="I18" s="1239"/>
      <c r="J18" s="1239"/>
    </row>
    <row r="19" spans="1:10" ht="16.899999999999999" customHeight="1">
      <c r="A19" s="1250" t="s">
        <v>1629</v>
      </c>
      <c r="B19" s="1239"/>
      <c r="C19" s="1251"/>
      <c r="G19" s="1251"/>
      <c r="H19" s="1249"/>
      <c r="I19" s="1239"/>
      <c r="J19" s="1239"/>
    </row>
    <row r="20" spans="1:10" ht="16.899999999999999" customHeight="1">
      <c r="A20" s="1252" t="s">
        <v>1630</v>
      </c>
      <c r="B20" s="1247"/>
      <c r="C20" s="1247"/>
      <c r="G20" s="1251"/>
      <c r="H20" s="1249"/>
      <c r="I20" s="1239"/>
      <c r="J20" s="1239"/>
    </row>
    <row r="21" spans="1:10" ht="16.899999999999999" customHeight="1">
      <c r="A21" s="1252" t="s">
        <v>1631</v>
      </c>
      <c r="B21" s="1247"/>
      <c r="C21" s="1247"/>
      <c r="G21" s="1251"/>
      <c r="H21" s="1249"/>
      <c r="I21" s="1239"/>
      <c r="J21" s="1239"/>
    </row>
    <row r="22" spans="1:10" ht="16.899999999999999" customHeight="1">
      <c r="A22" s="1206" t="s">
        <v>1632</v>
      </c>
      <c r="B22" s="1253"/>
      <c r="C22" s="1253"/>
      <c r="D22" s="1254"/>
      <c r="E22" s="1255"/>
      <c r="F22" s="1255"/>
      <c r="G22" s="1239"/>
      <c r="H22" s="1239"/>
      <c r="I22" s="1239"/>
      <c r="J22" s="1239"/>
    </row>
    <row r="23" spans="1:10" ht="16.899999999999999" customHeight="1">
      <c r="A23" s="1244" t="s">
        <v>1672</v>
      </c>
      <c r="B23" s="1239"/>
      <c r="H23" s="1239"/>
      <c r="I23" s="1239"/>
      <c r="J23" s="1239"/>
    </row>
    <row r="24" spans="1:10" ht="16.899999999999999" customHeight="1">
      <c r="A24" s="1244" t="s">
        <v>1661</v>
      </c>
      <c r="B24" s="1255"/>
      <c r="G24" s="1256" t="s">
        <v>1636</v>
      </c>
      <c r="H24" s="1239"/>
      <c r="I24" s="1239"/>
      <c r="J24" s="1239"/>
    </row>
    <row r="25" spans="1:10" ht="16.899999999999999" customHeight="1">
      <c r="A25" s="1257" t="s">
        <v>1635</v>
      </c>
      <c r="B25" s="1239"/>
      <c r="C25" s="1239"/>
      <c r="D25" s="1239"/>
      <c r="E25" s="1217"/>
      <c r="F25" s="1217"/>
      <c r="H25" s="1239"/>
      <c r="I25" s="1239"/>
      <c r="J25" s="1239"/>
    </row>
    <row r="26" spans="1:10" ht="16.899999999999999" customHeight="1">
      <c r="A26" s="1257" t="s">
        <v>1637</v>
      </c>
      <c r="B26" s="1216" t="s">
        <v>1638</v>
      </c>
      <c r="C26" s="1216" t="s">
        <v>522</v>
      </c>
      <c r="D26" s="1217"/>
      <c r="E26" s="1239"/>
      <c r="F26" s="1239"/>
      <c r="H26" s="1239"/>
      <c r="I26" s="1239"/>
      <c r="J26" s="1239"/>
    </row>
    <row r="27" spans="1:10" ht="16.899999999999999" customHeight="1">
      <c r="A27" s="1258"/>
      <c r="B27" s="1216" t="s">
        <v>1639</v>
      </c>
      <c r="C27" s="1216" t="s">
        <v>1640</v>
      </c>
      <c r="D27" s="1217"/>
      <c r="E27" s="1239"/>
      <c r="F27" s="1239"/>
      <c r="H27" s="1239"/>
      <c r="I27" s="1239"/>
      <c r="J27" s="1239"/>
    </row>
    <row r="28" spans="1:10" ht="16.899999999999999" customHeight="1">
      <c r="A28" s="1257" t="s">
        <v>1641</v>
      </c>
      <c r="D28" s="1239"/>
      <c r="E28" s="1217"/>
      <c r="F28" s="1217"/>
      <c r="H28" s="1239"/>
      <c r="I28" s="1239"/>
      <c r="J28" s="1239"/>
    </row>
    <row r="30" spans="1:10" ht="16.899999999999999" customHeight="1">
      <c r="A30" s="1259" t="s">
        <v>1642</v>
      </c>
    </row>
    <row r="31" spans="1:10" ht="16.899999999999999" customHeight="1">
      <c r="A31" s="1244" t="s">
        <v>1643</v>
      </c>
      <c r="G31" s="1256" t="s">
        <v>1644</v>
      </c>
    </row>
    <row r="32" spans="1:10" ht="16.899999999999999" customHeight="1">
      <c r="A32" s="1244" t="s">
        <v>1645</v>
      </c>
    </row>
    <row r="33" spans="1:1" ht="16.899999999999999" customHeight="1">
      <c r="A33" s="1244" t="s">
        <v>1646</v>
      </c>
    </row>
    <row r="34" spans="1:1" ht="16.899999999999999" customHeight="1">
      <c r="A34" s="1244" t="s">
        <v>1647</v>
      </c>
    </row>
    <row r="36" spans="1:1" ht="16.899999999999999" customHeight="1">
      <c r="A36" s="1244" t="s">
        <v>1648</v>
      </c>
    </row>
    <row r="37" spans="1:1" ht="16.899999999999999" customHeight="1">
      <c r="A37" s="1244" t="s">
        <v>1649</v>
      </c>
    </row>
    <row r="38" spans="1:1" ht="16.899999999999999" customHeight="1">
      <c r="A38" s="1244" t="s">
        <v>1650</v>
      </c>
    </row>
    <row r="39" spans="1:1" ht="16.899999999999999" customHeight="1">
      <c r="A39" s="1244" t="s">
        <v>1651</v>
      </c>
    </row>
  </sheetData>
  <mergeCells count="1">
    <mergeCell ref="I9:Q9"/>
  </mergeCells>
  <hyperlinks>
    <hyperlink ref="I9" r:id="rId1" display="http://michelmariette.over-blog.fr/"/>
  </hyperlinks>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dimension ref="A1:R38"/>
  <sheetViews>
    <sheetView showGridLines="0" workbookViewId="0">
      <selection activeCell="M30" sqref="M30"/>
    </sheetView>
  </sheetViews>
  <sheetFormatPr baseColWidth="10" defaultColWidth="11.7109375" defaultRowHeight="16.899999999999999" customHeight="1"/>
  <cols>
    <col min="1" max="1" width="36.42578125" style="1173" customWidth="1"/>
    <col min="2" max="6" width="17.5703125" style="1173" customWidth="1"/>
    <col min="7" max="7" width="14.85546875" style="1173" customWidth="1"/>
    <col min="8" max="256" width="11.7109375" style="1173"/>
    <col min="257" max="257" width="36.42578125" style="1173" customWidth="1"/>
    <col min="258" max="262" width="17.5703125" style="1173" customWidth="1"/>
    <col min="263" max="263" width="14.85546875" style="1173" customWidth="1"/>
    <col min="264" max="512" width="11.7109375" style="1173"/>
    <col min="513" max="513" width="36.42578125" style="1173" customWidth="1"/>
    <col min="514" max="518" width="17.5703125" style="1173" customWidth="1"/>
    <col min="519" max="519" width="14.85546875" style="1173" customWidth="1"/>
    <col min="520" max="768" width="11.7109375" style="1173"/>
    <col min="769" max="769" width="36.42578125" style="1173" customWidth="1"/>
    <col min="770" max="774" width="17.5703125" style="1173" customWidth="1"/>
    <col min="775" max="775" width="14.85546875" style="1173" customWidth="1"/>
    <col min="776" max="1024" width="11.7109375" style="1173"/>
    <col min="1025" max="1025" width="36.42578125" style="1173" customWidth="1"/>
    <col min="1026" max="1030" width="17.5703125" style="1173" customWidth="1"/>
    <col min="1031" max="1031" width="14.85546875" style="1173" customWidth="1"/>
    <col min="1032" max="1280" width="11.7109375" style="1173"/>
    <col min="1281" max="1281" width="36.42578125" style="1173" customWidth="1"/>
    <col min="1282" max="1286" width="17.5703125" style="1173" customWidth="1"/>
    <col min="1287" max="1287" width="14.85546875" style="1173" customWidth="1"/>
    <col min="1288" max="1536" width="11.7109375" style="1173"/>
    <col min="1537" max="1537" width="36.42578125" style="1173" customWidth="1"/>
    <col min="1538" max="1542" width="17.5703125" style="1173" customWidth="1"/>
    <col min="1543" max="1543" width="14.85546875" style="1173" customWidth="1"/>
    <col min="1544" max="1792" width="11.7109375" style="1173"/>
    <col min="1793" max="1793" width="36.42578125" style="1173" customWidth="1"/>
    <col min="1794" max="1798" width="17.5703125" style="1173" customWidth="1"/>
    <col min="1799" max="1799" width="14.85546875" style="1173" customWidth="1"/>
    <col min="1800" max="2048" width="11.7109375" style="1173"/>
    <col min="2049" max="2049" width="36.42578125" style="1173" customWidth="1"/>
    <col min="2050" max="2054" width="17.5703125" style="1173" customWidth="1"/>
    <col min="2055" max="2055" width="14.85546875" style="1173" customWidth="1"/>
    <col min="2056" max="2304" width="11.7109375" style="1173"/>
    <col min="2305" max="2305" width="36.42578125" style="1173" customWidth="1"/>
    <col min="2306" max="2310" width="17.5703125" style="1173" customWidth="1"/>
    <col min="2311" max="2311" width="14.85546875" style="1173" customWidth="1"/>
    <col min="2312" max="2560" width="11.7109375" style="1173"/>
    <col min="2561" max="2561" width="36.42578125" style="1173" customWidth="1"/>
    <col min="2562" max="2566" width="17.5703125" style="1173" customWidth="1"/>
    <col min="2567" max="2567" width="14.85546875" style="1173" customWidth="1"/>
    <col min="2568" max="2816" width="11.7109375" style="1173"/>
    <col min="2817" max="2817" width="36.42578125" style="1173" customWidth="1"/>
    <col min="2818" max="2822" width="17.5703125" style="1173" customWidth="1"/>
    <col min="2823" max="2823" width="14.85546875" style="1173" customWidth="1"/>
    <col min="2824" max="3072" width="11.7109375" style="1173"/>
    <col min="3073" max="3073" width="36.42578125" style="1173" customWidth="1"/>
    <col min="3074" max="3078" width="17.5703125" style="1173" customWidth="1"/>
    <col min="3079" max="3079" width="14.85546875" style="1173" customWidth="1"/>
    <col min="3080" max="3328" width="11.7109375" style="1173"/>
    <col min="3329" max="3329" width="36.42578125" style="1173" customWidth="1"/>
    <col min="3330" max="3334" width="17.5703125" style="1173" customWidth="1"/>
    <col min="3335" max="3335" width="14.85546875" style="1173" customWidth="1"/>
    <col min="3336" max="3584" width="11.7109375" style="1173"/>
    <col min="3585" max="3585" width="36.42578125" style="1173" customWidth="1"/>
    <col min="3586" max="3590" width="17.5703125" style="1173" customWidth="1"/>
    <col min="3591" max="3591" width="14.85546875" style="1173" customWidth="1"/>
    <col min="3592" max="3840" width="11.7109375" style="1173"/>
    <col min="3841" max="3841" width="36.42578125" style="1173" customWidth="1"/>
    <col min="3842" max="3846" width="17.5703125" style="1173" customWidth="1"/>
    <col min="3847" max="3847" width="14.85546875" style="1173" customWidth="1"/>
    <col min="3848" max="4096" width="11.7109375" style="1173"/>
    <col min="4097" max="4097" width="36.42578125" style="1173" customWidth="1"/>
    <col min="4098" max="4102" width="17.5703125" style="1173" customWidth="1"/>
    <col min="4103" max="4103" width="14.85546875" style="1173" customWidth="1"/>
    <col min="4104" max="4352" width="11.7109375" style="1173"/>
    <col min="4353" max="4353" width="36.42578125" style="1173" customWidth="1"/>
    <col min="4354" max="4358" width="17.5703125" style="1173" customWidth="1"/>
    <col min="4359" max="4359" width="14.85546875" style="1173" customWidth="1"/>
    <col min="4360" max="4608" width="11.7109375" style="1173"/>
    <col min="4609" max="4609" width="36.42578125" style="1173" customWidth="1"/>
    <col min="4610" max="4614" width="17.5703125" style="1173" customWidth="1"/>
    <col min="4615" max="4615" width="14.85546875" style="1173" customWidth="1"/>
    <col min="4616" max="4864" width="11.7109375" style="1173"/>
    <col min="4865" max="4865" width="36.42578125" style="1173" customWidth="1"/>
    <col min="4866" max="4870" width="17.5703125" style="1173" customWidth="1"/>
    <col min="4871" max="4871" width="14.85546875" style="1173" customWidth="1"/>
    <col min="4872" max="5120" width="11.7109375" style="1173"/>
    <col min="5121" max="5121" width="36.42578125" style="1173" customWidth="1"/>
    <col min="5122" max="5126" width="17.5703125" style="1173" customWidth="1"/>
    <col min="5127" max="5127" width="14.85546875" style="1173" customWidth="1"/>
    <col min="5128" max="5376" width="11.7109375" style="1173"/>
    <col min="5377" max="5377" width="36.42578125" style="1173" customWidth="1"/>
    <col min="5378" max="5382" width="17.5703125" style="1173" customWidth="1"/>
    <col min="5383" max="5383" width="14.85546875" style="1173" customWidth="1"/>
    <col min="5384" max="5632" width="11.7109375" style="1173"/>
    <col min="5633" max="5633" width="36.42578125" style="1173" customWidth="1"/>
    <col min="5634" max="5638" width="17.5703125" style="1173" customWidth="1"/>
    <col min="5639" max="5639" width="14.85546875" style="1173" customWidth="1"/>
    <col min="5640" max="5888" width="11.7109375" style="1173"/>
    <col min="5889" max="5889" width="36.42578125" style="1173" customWidth="1"/>
    <col min="5890" max="5894" width="17.5703125" style="1173" customWidth="1"/>
    <col min="5895" max="5895" width="14.85546875" style="1173" customWidth="1"/>
    <col min="5896" max="6144" width="11.7109375" style="1173"/>
    <col min="6145" max="6145" width="36.42578125" style="1173" customWidth="1"/>
    <col min="6146" max="6150" width="17.5703125" style="1173" customWidth="1"/>
    <col min="6151" max="6151" width="14.85546875" style="1173" customWidth="1"/>
    <col min="6152" max="6400" width="11.7109375" style="1173"/>
    <col min="6401" max="6401" width="36.42578125" style="1173" customWidth="1"/>
    <col min="6402" max="6406" width="17.5703125" style="1173" customWidth="1"/>
    <col min="6407" max="6407" width="14.85546875" style="1173" customWidth="1"/>
    <col min="6408" max="6656" width="11.7109375" style="1173"/>
    <col min="6657" max="6657" width="36.42578125" style="1173" customWidth="1"/>
    <col min="6658" max="6662" width="17.5703125" style="1173" customWidth="1"/>
    <col min="6663" max="6663" width="14.85546875" style="1173" customWidth="1"/>
    <col min="6664" max="6912" width="11.7109375" style="1173"/>
    <col min="6913" max="6913" width="36.42578125" style="1173" customWidth="1"/>
    <col min="6914" max="6918" width="17.5703125" style="1173" customWidth="1"/>
    <col min="6919" max="6919" width="14.85546875" style="1173" customWidth="1"/>
    <col min="6920" max="7168" width="11.7109375" style="1173"/>
    <col min="7169" max="7169" width="36.42578125" style="1173" customWidth="1"/>
    <col min="7170" max="7174" width="17.5703125" style="1173" customWidth="1"/>
    <col min="7175" max="7175" width="14.85546875" style="1173" customWidth="1"/>
    <col min="7176" max="7424" width="11.7109375" style="1173"/>
    <col min="7425" max="7425" width="36.42578125" style="1173" customWidth="1"/>
    <col min="7426" max="7430" width="17.5703125" style="1173" customWidth="1"/>
    <col min="7431" max="7431" width="14.85546875" style="1173" customWidth="1"/>
    <col min="7432" max="7680" width="11.7109375" style="1173"/>
    <col min="7681" max="7681" width="36.42578125" style="1173" customWidth="1"/>
    <col min="7682" max="7686" width="17.5703125" style="1173" customWidth="1"/>
    <col min="7687" max="7687" width="14.85546875" style="1173" customWidth="1"/>
    <col min="7688" max="7936" width="11.7109375" style="1173"/>
    <col min="7937" max="7937" width="36.42578125" style="1173" customWidth="1"/>
    <col min="7938" max="7942" width="17.5703125" style="1173" customWidth="1"/>
    <col min="7943" max="7943" width="14.85546875" style="1173" customWidth="1"/>
    <col min="7944" max="8192" width="11.7109375" style="1173"/>
    <col min="8193" max="8193" width="36.42578125" style="1173" customWidth="1"/>
    <col min="8194" max="8198" width="17.5703125" style="1173" customWidth="1"/>
    <col min="8199" max="8199" width="14.85546875" style="1173" customWidth="1"/>
    <col min="8200" max="8448" width="11.7109375" style="1173"/>
    <col min="8449" max="8449" width="36.42578125" style="1173" customWidth="1"/>
    <col min="8450" max="8454" width="17.5703125" style="1173" customWidth="1"/>
    <col min="8455" max="8455" width="14.85546875" style="1173" customWidth="1"/>
    <col min="8456" max="8704" width="11.7109375" style="1173"/>
    <col min="8705" max="8705" width="36.42578125" style="1173" customWidth="1"/>
    <col min="8706" max="8710" width="17.5703125" style="1173" customWidth="1"/>
    <col min="8711" max="8711" width="14.85546875" style="1173" customWidth="1"/>
    <col min="8712" max="8960" width="11.7109375" style="1173"/>
    <col min="8961" max="8961" width="36.42578125" style="1173" customWidth="1"/>
    <col min="8962" max="8966" width="17.5703125" style="1173" customWidth="1"/>
    <col min="8967" max="8967" width="14.85546875" style="1173" customWidth="1"/>
    <col min="8968" max="9216" width="11.7109375" style="1173"/>
    <col min="9217" max="9217" width="36.42578125" style="1173" customWidth="1"/>
    <col min="9218" max="9222" width="17.5703125" style="1173" customWidth="1"/>
    <col min="9223" max="9223" width="14.85546875" style="1173" customWidth="1"/>
    <col min="9224" max="9472" width="11.7109375" style="1173"/>
    <col min="9473" max="9473" width="36.42578125" style="1173" customWidth="1"/>
    <col min="9474" max="9478" width="17.5703125" style="1173" customWidth="1"/>
    <col min="9479" max="9479" width="14.85546875" style="1173" customWidth="1"/>
    <col min="9480" max="9728" width="11.7109375" style="1173"/>
    <col min="9729" max="9729" width="36.42578125" style="1173" customWidth="1"/>
    <col min="9730" max="9734" width="17.5703125" style="1173" customWidth="1"/>
    <col min="9735" max="9735" width="14.85546875" style="1173" customWidth="1"/>
    <col min="9736" max="9984" width="11.7109375" style="1173"/>
    <col min="9985" max="9985" width="36.42578125" style="1173" customWidth="1"/>
    <col min="9986" max="9990" width="17.5703125" style="1173" customWidth="1"/>
    <col min="9991" max="9991" width="14.85546875" style="1173" customWidth="1"/>
    <col min="9992" max="10240" width="11.7109375" style="1173"/>
    <col min="10241" max="10241" width="36.42578125" style="1173" customWidth="1"/>
    <col min="10242" max="10246" width="17.5703125" style="1173" customWidth="1"/>
    <col min="10247" max="10247" width="14.85546875" style="1173" customWidth="1"/>
    <col min="10248" max="10496" width="11.7109375" style="1173"/>
    <col min="10497" max="10497" width="36.42578125" style="1173" customWidth="1"/>
    <col min="10498" max="10502" width="17.5703125" style="1173" customWidth="1"/>
    <col min="10503" max="10503" width="14.85546875" style="1173" customWidth="1"/>
    <col min="10504" max="10752" width="11.7109375" style="1173"/>
    <col min="10753" max="10753" width="36.42578125" style="1173" customWidth="1"/>
    <col min="10754" max="10758" width="17.5703125" style="1173" customWidth="1"/>
    <col min="10759" max="10759" width="14.85546875" style="1173" customWidth="1"/>
    <col min="10760" max="11008" width="11.7109375" style="1173"/>
    <col min="11009" max="11009" width="36.42578125" style="1173" customWidth="1"/>
    <col min="11010" max="11014" width="17.5703125" style="1173" customWidth="1"/>
    <col min="11015" max="11015" width="14.85546875" style="1173" customWidth="1"/>
    <col min="11016" max="11264" width="11.7109375" style="1173"/>
    <col min="11265" max="11265" width="36.42578125" style="1173" customWidth="1"/>
    <col min="11266" max="11270" width="17.5703125" style="1173" customWidth="1"/>
    <col min="11271" max="11271" width="14.85546875" style="1173" customWidth="1"/>
    <col min="11272" max="11520" width="11.7109375" style="1173"/>
    <col min="11521" max="11521" width="36.42578125" style="1173" customWidth="1"/>
    <col min="11522" max="11526" width="17.5703125" style="1173" customWidth="1"/>
    <col min="11527" max="11527" width="14.85546875" style="1173" customWidth="1"/>
    <col min="11528" max="11776" width="11.7109375" style="1173"/>
    <col min="11777" max="11777" width="36.42578125" style="1173" customWidth="1"/>
    <col min="11778" max="11782" width="17.5703125" style="1173" customWidth="1"/>
    <col min="11783" max="11783" width="14.85546875" style="1173" customWidth="1"/>
    <col min="11784" max="12032" width="11.7109375" style="1173"/>
    <col min="12033" max="12033" width="36.42578125" style="1173" customWidth="1"/>
    <col min="12034" max="12038" width="17.5703125" style="1173" customWidth="1"/>
    <col min="12039" max="12039" width="14.85546875" style="1173" customWidth="1"/>
    <col min="12040" max="12288" width="11.7109375" style="1173"/>
    <col min="12289" max="12289" width="36.42578125" style="1173" customWidth="1"/>
    <col min="12290" max="12294" width="17.5703125" style="1173" customWidth="1"/>
    <col min="12295" max="12295" width="14.85546875" style="1173" customWidth="1"/>
    <col min="12296" max="12544" width="11.7109375" style="1173"/>
    <col min="12545" max="12545" width="36.42578125" style="1173" customWidth="1"/>
    <col min="12546" max="12550" width="17.5703125" style="1173" customWidth="1"/>
    <col min="12551" max="12551" width="14.85546875" style="1173" customWidth="1"/>
    <col min="12552" max="12800" width="11.7109375" style="1173"/>
    <col min="12801" max="12801" width="36.42578125" style="1173" customWidth="1"/>
    <col min="12802" max="12806" width="17.5703125" style="1173" customWidth="1"/>
    <col min="12807" max="12807" width="14.85546875" style="1173" customWidth="1"/>
    <col min="12808" max="13056" width="11.7109375" style="1173"/>
    <col min="13057" max="13057" width="36.42578125" style="1173" customWidth="1"/>
    <col min="13058" max="13062" width="17.5703125" style="1173" customWidth="1"/>
    <col min="13063" max="13063" width="14.85546875" style="1173" customWidth="1"/>
    <col min="13064" max="13312" width="11.7109375" style="1173"/>
    <col min="13313" max="13313" width="36.42578125" style="1173" customWidth="1"/>
    <col min="13314" max="13318" width="17.5703125" style="1173" customWidth="1"/>
    <col min="13319" max="13319" width="14.85546875" style="1173" customWidth="1"/>
    <col min="13320" max="13568" width="11.7109375" style="1173"/>
    <col min="13569" max="13569" width="36.42578125" style="1173" customWidth="1"/>
    <col min="13570" max="13574" width="17.5703125" style="1173" customWidth="1"/>
    <col min="13575" max="13575" width="14.85546875" style="1173" customWidth="1"/>
    <col min="13576" max="13824" width="11.7109375" style="1173"/>
    <col min="13825" max="13825" width="36.42578125" style="1173" customWidth="1"/>
    <col min="13826" max="13830" width="17.5703125" style="1173" customWidth="1"/>
    <col min="13831" max="13831" width="14.85546875" style="1173" customWidth="1"/>
    <col min="13832" max="14080" width="11.7109375" style="1173"/>
    <col min="14081" max="14081" width="36.42578125" style="1173" customWidth="1"/>
    <col min="14082" max="14086" width="17.5703125" style="1173" customWidth="1"/>
    <col min="14087" max="14087" width="14.85546875" style="1173" customWidth="1"/>
    <col min="14088" max="14336" width="11.7109375" style="1173"/>
    <col min="14337" max="14337" width="36.42578125" style="1173" customWidth="1"/>
    <col min="14338" max="14342" width="17.5703125" style="1173" customWidth="1"/>
    <col min="14343" max="14343" width="14.85546875" style="1173" customWidth="1"/>
    <col min="14344" max="14592" width="11.7109375" style="1173"/>
    <col min="14593" max="14593" width="36.42578125" style="1173" customWidth="1"/>
    <col min="14594" max="14598" width="17.5703125" style="1173" customWidth="1"/>
    <col min="14599" max="14599" width="14.85546875" style="1173" customWidth="1"/>
    <col min="14600" max="14848" width="11.7109375" style="1173"/>
    <col min="14849" max="14849" width="36.42578125" style="1173" customWidth="1"/>
    <col min="14850" max="14854" width="17.5703125" style="1173" customWidth="1"/>
    <col min="14855" max="14855" width="14.85546875" style="1173" customWidth="1"/>
    <col min="14856" max="15104" width="11.7109375" style="1173"/>
    <col min="15105" max="15105" width="36.42578125" style="1173" customWidth="1"/>
    <col min="15106" max="15110" width="17.5703125" style="1173" customWidth="1"/>
    <col min="15111" max="15111" width="14.85546875" style="1173" customWidth="1"/>
    <col min="15112" max="15360" width="11.7109375" style="1173"/>
    <col min="15361" max="15361" width="36.42578125" style="1173" customWidth="1"/>
    <col min="15362" max="15366" width="17.5703125" style="1173" customWidth="1"/>
    <col min="15367" max="15367" width="14.85546875" style="1173" customWidth="1"/>
    <col min="15368" max="15616" width="11.7109375" style="1173"/>
    <col min="15617" max="15617" width="36.42578125" style="1173" customWidth="1"/>
    <col min="15618" max="15622" width="17.5703125" style="1173" customWidth="1"/>
    <col min="15623" max="15623" width="14.85546875" style="1173" customWidth="1"/>
    <col min="15624" max="15872" width="11.7109375" style="1173"/>
    <col min="15873" max="15873" width="36.42578125" style="1173" customWidth="1"/>
    <col min="15874" max="15878" width="17.5703125" style="1173" customWidth="1"/>
    <col min="15879" max="15879" width="14.85546875" style="1173" customWidth="1"/>
    <col min="15880" max="16128" width="11.7109375" style="1173"/>
    <col min="16129" max="16129" width="36.42578125" style="1173" customWidth="1"/>
    <col min="16130" max="16134" width="17.5703125" style="1173" customWidth="1"/>
    <col min="16135" max="16135" width="14.85546875" style="1173" customWidth="1"/>
    <col min="16136" max="16384" width="11.7109375" style="1173"/>
  </cols>
  <sheetData>
    <row r="1" spans="1:18" s="1162" customFormat="1" ht="19.899999999999999" customHeight="1">
      <c r="A1" s="1160" t="s">
        <v>1609</v>
      </c>
      <c r="B1" s="1161"/>
      <c r="C1" s="1160" t="s">
        <v>1652</v>
      </c>
      <c r="E1" s="1163"/>
      <c r="F1" s="1163" t="s">
        <v>1611</v>
      </c>
      <c r="G1" s="1164"/>
      <c r="H1" s="1165"/>
      <c r="I1" s="1166"/>
      <c r="J1" s="1163"/>
    </row>
    <row r="2" spans="1:18" s="1162" customFormat="1" ht="16.899999999999999" customHeight="1">
      <c r="A2" s="1219" t="s">
        <v>1663</v>
      </c>
    </row>
    <row r="3" spans="1:18" ht="16.899999999999999" customHeight="1">
      <c r="A3" s="1206"/>
      <c r="E3" s="1171" t="s">
        <v>1613</v>
      </c>
    </row>
    <row r="4" spans="1:18" ht="16.149999999999999" customHeight="1">
      <c r="A4" s="1172"/>
      <c r="B4" s="1172"/>
      <c r="C4" s="1172"/>
      <c r="E4" s="1174">
        <v>30</v>
      </c>
      <c r="F4" s="1175"/>
      <c r="G4" s="1176"/>
      <c r="H4" s="1177"/>
      <c r="I4" s="1177"/>
      <c r="J4" s="1177"/>
    </row>
    <row r="5" spans="1:18" ht="16.899999999999999" customHeight="1">
      <c r="A5" s="1193" t="s">
        <v>1614</v>
      </c>
      <c r="B5" s="1220" t="s">
        <v>1615</v>
      </c>
      <c r="C5" s="1221" t="s">
        <v>1616</v>
      </c>
      <c r="D5" s="1222" t="s">
        <v>21</v>
      </c>
      <c r="E5" s="1232" t="s">
        <v>1617</v>
      </c>
      <c r="F5" s="1220" t="s">
        <v>1618</v>
      </c>
      <c r="G5" s="1220" t="s">
        <v>1619</v>
      </c>
      <c r="I5" s="1172"/>
      <c r="J5" s="1948" t="s">
        <v>1681</v>
      </c>
      <c r="K5" s="1166"/>
      <c r="L5" s="1166"/>
      <c r="M5" s="1166"/>
      <c r="N5" s="1166"/>
      <c r="O5" s="1166"/>
      <c r="P5" s="1166"/>
      <c r="Q5" s="1166"/>
      <c r="R5" s="1166"/>
    </row>
    <row r="6" spans="1:18" ht="16.899999999999999" customHeight="1">
      <c r="A6" s="1224" t="s">
        <v>1620</v>
      </c>
      <c r="B6" s="1184">
        <v>21</v>
      </c>
      <c r="C6" s="1185">
        <f>B6/B16*1000</f>
        <v>202.16606498194943</v>
      </c>
      <c r="D6" s="1186">
        <f>B6/B16</f>
        <v>0.20216606498194944</v>
      </c>
      <c r="E6" s="1233">
        <f>D6*E4</f>
        <v>6.0649819494584829</v>
      </c>
      <c r="F6" s="1188">
        <v>0</v>
      </c>
      <c r="G6" s="1189">
        <f t="shared" ref="G6:G15" si="0">E6*F6</f>
        <v>0</v>
      </c>
      <c r="I6" s="1172"/>
      <c r="J6" s="1166" t="s">
        <v>1682</v>
      </c>
      <c r="K6" s="1166"/>
      <c r="L6" s="1166"/>
      <c r="M6" s="1166"/>
      <c r="N6" s="1166"/>
      <c r="O6" s="1166"/>
      <c r="P6" s="1166"/>
      <c r="Q6" s="1166"/>
      <c r="R6" s="1166"/>
    </row>
    <row r="7" spans="1:18" ht="16.899999999999999" customHeight="1">
      <c r="A7" s="1224" t="s">
        <v>1664</v>
      </c>
      <c r="B7" s="1184">
        <v>18</v>
      </c>
      <c r="C7" s="1185">
        <f>B7/B16*1000</f>
        <v>173.28519855595667</v>
      </c>
      <c r="D7" s="1191">
        <f>B7/B16</f>
        <v>0.17328519855595667</v>
      </c>
      <c r="E7" s="1233">
        <f>D7*E4</f>
        <v>5.1985559566787005</v>
      </c>
      <c r="F7" s="1188">
        <v>0</v>
      </c>
      <c r="G7" s="1189">
        <f t="shared" si="0"/>
        <v>0</v>
      </c>
      <c r="I7" s="1172"/>
      <c r="J7" s="1166" t="s">
        <v>1683</v>
      </c>
      <c r="K7" s="1166"/>
      <c r="L7" s="1166"/>
      <c r="M7" s="1166"/>
      <c r="N7" s="1166"/>
      <c r="O7" s="1166"/>
      <c r="P7" s="1166"/>
      <c r="Q7" s="1166"/>
      <c r="R7" s="1166"/>
    </row>
    <row r="8" spans="1:18" ht="16.899999999999999" customHeight="1">
      <c r="A8" s="1173" t="s">
        <v>1622</v>
      </c>
      <c r="B8" s="1184">
        <v>26</v>
      </c>
      <c r="C8" s="1185">
        <f>B8/B16*1000</f>
        <v>250.30084235860411</v>
      </c>
      <c r="D8" s="1191">
        <f>B8/B16</f>
        <v>0.25030084235860411</v>
      </c>
      <c r="E8" s="1233">
        <f>D8*E4</f>
        <v>7.5090252707581238</v>
      </c>
      <c r="F8" s="1188">
        <v>0</v>
      </c>
      <c r="G8" s="1189">
        <f t="shared" si="0"/>
        <v>0</v>
      </c>
      <c r="I8" s="1172"/>
      <c r="J8" s="1166" t="s">
        <v>1684</v>
      </c>
      <c r="K8" s="1166"/>
      <c r="L8" s="1166"/>
      <c r="M8" s="1166"/>
      <c r="N8" s="1166"/>
      <c r="O8" s="1166"/>
      <c r="P8" s="1166"/>
      <c r="Q8" s="1166"/>
      <c r="R8" s="1166"/>
    </row>
    <row r="9" spans="1:18" ht="16.899999999999999" customHeight="1">
      <c r="A9" s="1224" t="s">
        <v>1623</v>
      </c>
      <c r="B9" s="1184">
        <v>30</v>
      </c>
      <c r="C9" s="1185">
        <f>B9/B16*1000</f>
        <v>288.80866425992781</v>
      </c>
      <c r="D9" s="1191">
        <f>B9/B16</f>
        <v>0.28880866425992779</v>
      </c>
      <c r="E9" s="1233">
        <f>D9*E4</f>
        <v>8.6642599277978345</v>
      </c>
      <c r="F9" s="1188">
        <v>0</v>
      </c>
      <c r="G9" s="1189">
        <f t="shared" si="0"/>
        <v>0</v>
      </c>
      <c r="I9" s="1172"/>
      <c r="J9" s="2642" t="s">
        <v>1685</v>
      </c>
      <c r="K9" s="2642"/>
      <c r="L9" s="2642"/>
      <c r="M9" s="2642"/>
      <c r="N9" s="2642"/>
      <c r="O9" s="2642"/>
      <c r="P9" s="2642"/>
      <c r="Q9" s="2642"/>
      <c r="R9" s="2642"/>
    </row>
    <row r="10" spans="1:18" ht="16.899999999999999" customHeight="1">
      <c r="A10" s="1224" t="s">
        <v>579</v>
      </c>
      <c r="B10" s="1184">
        <v>6</v>
      </c>
      <c r="C10" s="1185">
        <f>B10/B16*1000</f>
        <v>57.761732851985563</v>
      </c>
      <c r="D10" s="1191">
        <f>B10/B16</f>
        <v>5.7761732851985562E-2</v>
      </c>
      <c r="E10" s="1233">
        <f>D10*E4</f>
        <v>1.7328519855595668</v>
      </c>
      <c r="F10" s="1188">
        <v>0</v>
      </c>
      <c r="G10" s="1189">
        <f t="shared" si="0"/>
        <v>0</v>
      </c>
      <c r="I10" s="1172"/>
      <c r="J10" s="1172"/>
    </row>
    <row r="11" spans="1:18" ht="16.899999999999999" customHeight="1">
      <c r="A11" s="1224" t="s">
        <v>1624</v>
      </c>
      <c r="B11" s="1184">
        <v>1.65</v>
      </c>
      <c r="C11" s="1185">
        <f>B11/B16*1000</f>
        <v>15.884476534296029</v>
      </c>
      <c r="D11" s="1191">
        <f>B11/B16</f>
        <v>1.5884476534296029E-2</v>
      </c>
      <c r="E11" s="1233">
        <f>D11*E4</f>
        <v>0.47653429602888087</v>
      </c>
      <c r="F11" s="1188">
        <v>0</v>
      </c>
      <c r="G11" s="1189">
        <f t="shared" si="0"/>
        <v>0</v>
      </c>
      <c r="I11" s="1172"/>
      <c r="J11" s="1172"/>
    </row>
    <row r="12" spans="1:18" ht="16.899999999999999" customHeight="1">
      <c r="A12" s="1224" t="s">
        <v>1625</v>
      </c>
      <c r="B12" s="1184">
        <v>0.1</v>
      </c>
      <c r="C12" s="1185">
        <f>B12/B16*1000</f>
        <v>0.96269554753309272</v>
      </c>
      <c r="D12" s="1191">
        <f>B12/B16</f>
        <v>9.6269554753309272E-4</v>
      </c>
      <c r="E12" s="1233">
        <f>D12*E4</f>
        <v>2.8880866425992781E-2</v>
      </c>
      <c r="F12" s="1188">
        <v>0</v>
      </c>
      <c r="G12" s="1189">
        <f t="shared" si="0"/>
        <v>0</v>
      </c>
      <c r="I12" s="1172"/>
      <c r="J12" s="1172"/>
    </row>
    <row r="13" spans="1:18" ht="16.899999999999999" customHeight="1">
      <c r="A13" s="1224" t="s">
        <v>1626</v>
      </c>
      <c r="B13" s="1184">
        <v>0.1</v>
      </c>
      <c r="C13" s="1185">
        <f>B13/B16*1000</f>
        <v>0.96269554753309272</v>
      </c>
      <c r="D13" s="1191">
        <f>B13/B16</f>
        <v>9.6269554753309272E-4</v>
      </c>
      <c r="E13" s="1233">
        <f>D13*E4</f>
        <v>2.8880866425992781E-2</v>
      </c>
      <c r="F13" s="1188">
        <v>0</v>
      </c>
      <c r="G13" s="1189">
        <f t="shared" si="0"/>
        <v>0</v>
      </c>
      <c r="I13" s="1172"/>
      <c r="J13" s="1172"/>
    </row>
    <row r="14" spans="1:18" ht="16.899999999999999" customHeight="1">
      <c r="A14" s="1224" t="s">
        <v>1665</v>
      </c>
      <c r="B14" s="1184">
        <v>1</v>
      </c>
      <c r="C14" s="1185">
        <f>B14/B16*1000</f>
        <v>9.6269554753309272</v>
      </c>
      <c r="D14" s="1191">
        <f>B14/B16</f>
        <v>9.6269554753309269E-3</v>
      </c>
      <c r="E14" s="1233">
        <f>D14*E4</f>
        <v>0.28880866425992779</v>
      </c>
      <c r="F14" s="1188">
        <v>0</v>
      </c>
      <c r="G14" s="1189">
        <f t="shared" si="0"/>
        <v>0</v>
      </c>
    </row>
    <row r="15" spans="1:18" ht="16.899999999999999" customHeight="1">
      <c r="A15" s="1224" t="s">
        <v>1628</v>
      </c>
      <c r="B15" s="1184">
        <v>2.5000000000000001E-2</v>
      </c>
      <c r="C15" s="1185">
        <f>B15/B16*1000</f>
        <v>0.24067388688327318</v>
      </c>
      <c r="D15" s="1191">
        <f>B15/B16</f>
        <v>2.4067388688327318E-4</v>
      </c>
      <c r="E15" s="1233">
        <f>D15*E4</f>
        <v>7.2202166064981952E-3</v>
      </c>
      <c r="F15" s="1188">
        <v>0</v>
      </c>
      <c r="G15" s="1189">
        <f t="shared" si="0"/>
        <v>0</v>
      </c>
    </row>
    <row r="16" spans="1:18" ht="16.899999999999999" customHeight="1">
      <c r="A16" s="1193" t="s">
        <v>22</v>
      </c>
      <c r="B16" s="1194">
        <f>SUM(B6:B15)</f>
        <v>103.875</v>
      </c>
      <c r="C16" s="1195">
        <f>SUM(C6:C15)</f>
        <v>1000.0000000000001</v>
      </c>
      <c r="D16" s="1191">
        <f>SUM(D6:D15)</f>
        <v>1.0000000000000002</v>
      </c>
      <c r="E16" s="1234">
        <f>SUM(E6:E15)</f>
        <v>30</v>
      </c>
      <c r="F16" s="1189">
        <f>G16/E16</f>
        <v>0</v>
      </c>
      <c r="G16" s="1189">
        <f>SUM(G6:G15)</f>
        <v>0</v>
      </c>
      <c r="I16" s="1172"/>
      <c r="J16" s="1172"/>
    </row>
    <row r="17" spans="1:10" ht="16.899999999999999" customHeight="1">
      <c r="A17" s="1197"/>
      <c r="B17" s="1198"/>
      <c r="C17" s="1198"/>
      <c r="D17" s="1199"/>
      <c r="E17" s="1200"/>
      <c r="F17" s="1200"/>
      <c r="G17" s="1200"/>
      <c r="H17" s="1201"/>
      <c r="I17" s="1172"/>
      <c r="J17" s="1172"/>
    </row>
    <row r="18" spans="1:10" ht="16.899999999999999" customHeight="1">
      <c r="A18" s="1202" t="s">
        <v>1629</v>
      </c>
      <c r="B18" s="1172"/>
      <c r="C18" s="1203"/>
      <c r="G18" s="1203"/>
      <c r="H18" s="1201"/>
      <c r="I18" s="1172"/>
      <c r="J18" s="1172"/>
    </row>
    <row r="19" spans="1:10" ht="16.899999999999999" customHeight="1">
      <c r="A19" s="1204" t="s">
        <v>1630</v>
      </c>
      <c r="B19" s="1205"/>
      <c r="C19" s="1205"/>
      <c r="G19" s="1203"/>
      <c r="H19" s="1201"/>
      <c r="I19" s="1172"/>
      <c r="J19" s="1172"/>
    </row>
    <row r="20" spans="1:10" ht="16.899999999999999" customHeight="1">
      <c r="A20" s="1204" t="s">
        <v>1631</v>
      </c>
      <c r="B20" s="1205"/>
      <c r="C20" s="1205"/>
      <c r="G20" s="1203"/>
      <c r="H20" s="1201"/>
      <c r="I20" s="1172"/>
      <c r="J20" s="1172"/>
    </row>
    <row r="21" spans="1:10" ht="16.899999999999999" customHeight="1">
      <c r="A21" s="1206" t="s">
        <v>1632</v>
      </c>
      <c r="B21" s="1207"/>
      <c r="C21" s="1207"/>
      <c r="D21" s="1208"/>
      <c r="E21" s="1209"/>
      <c r="F21" s="1209"/>
      <c r="G21" s="1210"/>
      <c r="H21" s="1210"/>
      <c r="I21" s="1172"/>
      <c r="J21" s="1172"/>
    </row>
    <row r="22" spans="1:10" ht="16.899999999999999" customHeight="1">
      <c r="A22" s="1211" t="s">
        <v>1666</v>
      </c>
      <c r="B22" s="1212"/>
      <c r="C22" s="1211"/>
      <c r="D22" s="1211"/>
      <c r="E22" s="1211"/>
      <c r="F22" s="1211"/>
      <c r="H22" s="1172"/>
      <c r="I22" s="1172"/>
      <c r="J22" s="1172"/>
    </row>
    <row r="23" spans="1:10" ht="16.899999999999999" customHeight="1">
      <c r="A23" s="1211" t="s">
        <v>1661</v>
      </c>
      <c r="B23" s="1213"/>
      <c r="C23" s="1211"/>
      <c r="D23" s="1211"/>
      <c r="E23" s="1211"/>
      <c r="F23" s="1211"/>
      <c r="H23" s="1172"/>
      <c r="I23" s="1172"/>
      <c r="J23" s="1172"/>
    </row>
    <row r="24" spans="1:10" ht="16.899999999999999" customHeight="1">
      <c r="A24" s="1214" t="s">
        <v>1635</v>
      </c>
      <c r="B24" s="1172"/>
      <c r="C24" s="1172"/>
      <c r="D24" s="1172"/>
      <c r="E24" s="1177"/>
      <c r="F24" s="1177"/>
      <c r="H24" s="1172"/>
      <c r="I24" s="1172"/>
      <c r="J24" s="1172"/>
    </row>
    <row r="25" spans="1:10" ht="16.899999999999999" customHeight="1">
      <c r="A25" s="1214" t="s">
        <v>1637</v>
      </c>
      <c r="B25" s="1216" t="s">
        <v>1638</v>
      </c>
      <c r="C25" s="1216" t="s">
        <v>522</v>
      </c>
      <c r="D25" s="1217"/>
      <c r="E25" s="1172"/>
      <c r="F25" s="1172"/>
      <c r="G25" s="1215" t="s">
        <v>1636</v>
      </c>
      <c r="H25" s="1172"/>
      <c r="I25" s="1172"/>
      <c r="J25" s="1172"/>
    </row>
    <row r="26" spans="1:10" ht="16.899999999999999" customHeight="1">
      <c r="A26" s="1218"/>
      <c r="B26" s="1216" t="s">
        <v>1639</v>
      </c>
      <c r="C26" s="1216" t="s">
        <v>1640</v>
      </c>
      <c r="D26" s="1217"/>
      <c r="E26" s="1172"/>
      <c r="F26" s="1172"/>
      <c r="H26" s="1172"/>
      <c r="I26" s="1172"/>
      <c r="J26" s="1172"/>
    </row>
    <row r="27" spans="1:10" ht="16.899999999999999" customHeight="1">
      <c r="A27" s="1214" t="s">
        <v>1641</v>
      </c>
      <c r="D27" s="1172"/>
      <c r="E27" s="1177"/>
      <c r="F27" s="1177"/>
      <c r="H27" s="1172"/>
      <c r="I27" s="1172"/>
      <c r="J27" s="1172"/>
    </row>
    <row r="29" spans="1:10" ht="16.899999999999999" customHeight="1">
      <c r="A29" s="1215" t="s">
        <v>1642</v>
      </c>
    </row>
    <row r="30" spans="1:10" ht="16.899999999999999" customHeight="1">
      <c r="A30" s="1173" t="s">
        <v>1643</v>
      </c>
      <c r="G30" s="1215" t="s">
        <v>1644</v>
      </c>
    </row>
    <row r="31" spans="1:10" ht="16.899999999999999" customHeight="1">
      <c r="A31" s="1173" t="s">
        <v>1645</v>
      </c>
    </row>
    <row r="32" spans="1:10" ht="16.899999999999999" customHeight="1">
      <c r="A32" s="1173" t="s">
        <v>1646</v>
      </c>
    </row>
    <row r="33" spans="1:1" ht="16.899999999999999" customHeight="1">
      <c r="A33" s="1173" t="s">
        <v>1647</v>
      </c>
    </row>
    <row r="35" spans="1:1" ht="16.899999999999999" customHeight="1">
      <c r="A35" s="1173" t="s">
        <v>1648</v>
      </c>
    </row>
    <row r="36" spans="1:1" ht="16.899999999999999" customHeight="1">
      <c r="A36" s="1173" t="s">
        <v>1649</v>
      </c>
    </row>
    <row r="37" spans="1:1" ht="16.899999999999999" customHeight="1">
      <c r="A37" s="1173" t="s">
        <v>1650</v>
      </c>
    </row>
    <row r="38" spans="1:1" ht="16.899999999999999" customHeight="1">
      <c r="A38" s="1173" t="s">
        <v>1651</v>
      </c>
    </row>
  </sheetData>
  <mergeCells count="1">
    <mergeCell ref="J9:R9"/>
  </mergeCells>
  <hyperlinks>
    <hyperlink ref="J9" r:id="rId1" display="http://michelmariette.over-blog.fr/"/>
  </hyperlinks>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Q38"/>
  <sheetViews>
    <sheetView showGridLines="0" workbookViewId="0">
      <selection activeCell="K32" sqref="K32"/>
    </sheetView>
  </sheetViews>
  <sheetFormatPr baseColWidth="10" defaultColWidth="16.140625" defaultRowHeight="15.6" customHeight="1"/>
  <cols>
    <col min="1" max="1" width="36.140625" style="1173" customWidth="1"/>
    <col min="2" max="4" width="18.7109375" style="1173" customWidth="1"/>
    <col min="5" max="256" width="16.140625" style="1173"/>
    <col min="257" max="257" width="36.140625" style="1173" customWidth="1"/>
    <col min="258" max="260" width="18.7109375" style="1173" customWidth="1"/>
    <col min="261" max="512" width="16.140625" style="1173"/>
    <col min="513" max="513" width="36.140625" style="1173" customWidth="1"/>
    <col min="514" max="516" width="18.7109375" style="1173" customWidth="1"/>
    <col min="517" max="768" width="16.140625" style="1173"/>
    <col min="769" max="769" width="36.140625" style="1173" customWidth="1"/>
    <col min="770" max="772" width="18.7109375" style="1173" customWidth="1"/>
    <col min="773" max="1024" width="16.140625" style="1173"/>
    <col min="1025" max="1025" width="36.140625" style="1173" customWidth="1"/>
    <col min="1026" max="1028" width="18.7109375" style="1173" customWidth="1"/>
    <col min="1029" max="1280" width="16.140625" style="1173"/>
    <col min="1281" max="1281" width="36.140625" style="1173" customWidth="1"/>
    <col min="1282" max="1284" width="18.7109375" style="1173" customWidth="1"/>
    <col min="1285" max="1536" width="16.140625" style="1173"/>
    <col min="1537" max="1537" width="36.140625" style="1173" customWidth="1"/>
    <col min="1538" max="1540" width="18.7109375" style="1173" customWidth="1"/>
    <col min="1541" max="1792" width="16.140625" style="1173"/>
    <col min="1793" max="1793" width="36.140625" style="1173" customWidth="1"/>
    <col min="1794" max="1796" width="18.7109375" style="1173" customWidth="1"/>
    <col min="1797" max="2048" width="16.140625" style="1173"/>
    <col min="2049" max="2049" width="36.140625" style="1173" customWidth="1"/>
    <col min="2050" max="2052" width="18.7109375" style="1173" customWidth="1"/>
    <col min="2053" max="2304" width="16.140625" style="1173"/>
    <col min="2305" max="2305" width="36.140625" style="1173" customWidth="1"/>
    <col min="2306" max="2308" width="18.7109375" style="1173" customWidth="1"/>
    <col min="2309" max="2560" width="16.140625" style="1173"/>
    <col min="2561" max="2561" width="36.140625" style="1173" customWidth="1"/>
    <col min="2562" max="2564" width="18.7109375" style="1173" customWidth="1"/>
    <col min="2565" max="2816" width="16.140625" style="1173"/>
    <col min="2817" max="2817" width="36.140625" style="1173" customWidth="1"/>
    <col min="2818" max="2820" width="18.7109375" style="1173" customWidth="1"/>
    <col min="2821" max="3072" width="16.140625" style="1173"/>
    <col min="3073" max="3073" width="36.140625" style="1173" customWidth="1"/>
    <col min="3074" max="3076" width="18.7109375" style="1173" customWidth="1"/>
    <col min="3077" max="3328" width="16.140625" style="1173"/>
    <col min="3329" max="3329" width="36.140625" style="1173" customWidth="1"/>
    <col min="3330" max="3332" width="18.7109375" style="1173" customWidth="1"/>
    <col min="3333" max="3584" width="16.140625" style="1173"/>
    <col min="3585" max="3585" width="36.140625" style="1173" customWidth="1"/>
    <col min="3586" max="3588" width="18.7109375" style="1173" customWidth="1"/>
    <col min="3589" max="3840" width="16.140625" style="1173"/>
    <col min="3841" max="3841" width="36.140625" style="1173" customWidth="1"/>
    <col min="3842" max="3844" width="18.7109375" style="1173" customWidth="1"/>
    <col min="3845" max="4096" width="16.140625" style="1173"/>
    <col min="4097" max="4097" width="36.140625" style="1173" customWidth="1"/>
    <col min="4098" max="4100" width="18.7109375" style="1173" customWidth="1"/>
    <col min="4101" max="4352" width="16.140625" style="1173"/>
    <col min="4353" max="4353" width="36.140625" style="1173" customWidth="1"/>
    <col min="4354" max="4356" width="18.7109375" style="1173" customWidth="1"/>
    <col min="4357" max="4608" width="16.140625" style="1173"/>
    <col min="4609" max="4609" width="36.140625" style="1173" customWidth="1"/>
    <col min="4610" max="4612" width="18.7109375" style="1173" customWidth="1"/>
    <col min="4613" max="4864" width="16.140625" style="1173"/>
    <col min="4865" max="4865" width="36.140625" style="1173" customWidth="1"/>
    <col min="4866" max="4868" width="18.7109375" style="1173" customWidth="1"/>
    <col min="4869" max="5120" width="16.140625" style="1173"/>
    <col min="5121" max="5121" width="36.140625" style="1173" customWidth="1"/>
    <col min="5122" max="5124" width="18.7109375" style="1173" customWidth="1"/>
    <col min="5125" max="5376" width="16.140625" style="1173"/>
    <col min="5377" max="5377" width="36.140625" style="1173" customWidth="1"/>
    <col min="5378" max="5380" width="18.7109375" style="1173" customWidth="1"/>
    <col min="5381" max="5632" width="16.140625" style="1173"/>
    <col min="5633" max="5633" width="36.140625" style="1173" customWidth="1"/>
    <col min="5634" max="5636" width="18.7109375" style="1173" customWidth="1"/>
    <col min="5637" max="5888" width="16.140625" style="1173"/>
    <col min="5889" max="5889" width="36.140625" style="1173" customWidth="1"/>
    <col min="5890" max="5892" width="18.7109375" style="1173" customWidth="1"/>
    <col min="5893" max="6144" width="16.140625" style="1173"/>
    <col min="6145" max="6145" width="36.140625" style="1173" customWidth="1"/>
    <col min="6146" max="6148" width="18.7109375" style="1173" customWidth="1"/>
    <col min="6149" max="6400" width="16.140625" style="1173"/>
    <col min="6401" max="6401" width="36.140625" style="1173" customWidth="1"/>
    <col min="6402" max="6404" width="18.7109375" style="1173" customWidth="1"/>
    <col min="6405" max="6656" width="16.140625" style="1173"/>
    <col min="6657" max="6657" width="36.140625" style="1173" customWidth="1"/>
    <col min="6658" max="6660" width="18.7109375" style="1173" customWidth="1"/>
    <col min="6661" max="6912" width="16.140625" style="1173"/>
    <col min="6913" max="6913" width="36.140625" style="1173" customWidth="1"/>
    <col min="6914" max="6916" width="18.7109375" style="1173" customWidth="1"/>
    <col min="6917" max="7168" width="16.140625" style="1173"/>
    <col min="7169" max="7169" width="36.140625" style="1173" customWidth="1"/>
    <col min="7170" max="7172" width="18.7109375" style="1173" customWidth="1"/>
    <col min="7173" max="7424" width="16.140625" style="1173"/>
    <col min="7425" max="7425" width="36.140625" style="1173" customWidth="1"/>
    <col min="7426" max="7428" width="18.7109375" style="1173" customWidth="1"/>
    <col min="7429" max="7680" width="16.140625" style="1173"/>
    <col min="7681" max="7681" width="36.140625" style="1173" customWidth="1"/>
    <col min="7682" max="7684" width="18.7109375" style="1173" customWidth="1"/>
    <col min="7685" max="7936" width="16.140625" style="1173"/>
    <col min="7937" max="7937" width="36.140625" style="1173" customWidth="1"/>
    <col min="7938" max="7940" width="18.7109375" style="1173" customWidth="1"/>
    <col min="7941" max="8192" width="16.140625" style="1173"/>
    <col min="8193" max="8193" width="36.140625" style="1173" customWidth="1"/>
    <col min="8194" max="8196" width="18.7109375" style="1173" customWidth="1"/>
    <col min="8197" max="8448" width="16.140625" style="1173"/>
    <col min="8449" max="8449" width="36.140625" style="1173" customWidth="1"/>
    <col min="8450" max="8452" width="18.7109375" style="1173" customWidth="1"/>
    <col min="8453" max="8704" width="16.140625" style="1173"/>
    <col min="8705" max="8705" width="36.140625" style="1173" customWidth="1"/>
    <col min="8706" max="8708" width="18.7109375" style="1173" customWidth="1"/>
    <col min="8709" max="8960" width="16.140625" style="1173"/>
    <col min="8961" max="8961" width="36.140625" style="1173" customWidth="1"/>
    <col min="8962" max="8964" width="18.7109375" style="1173" customWidth="1"/>
    <col min="8965" max="9216" width="16.140625" style="1173"/>
    <col min="9217" max="9217" width="36.140625" style="1173" customWidth="1"/>
    <col min="9218" max="9220" width="18.7109375" style="1173" customWidth="1"/>
    <col min="9221" max="9472" width="16.140625" style="1173"/>
    <col min="9473" max="9473" width="36.140625" style="1173" customWidth="1"/>
    <col min="9474" max="9476" width="18.7109375" style="1173" customWidth="1"/>
    <col min="9477" max="9728" width="16.140625" style="1173"/>
    <col min="9729" max="9729" width="36.140625" style="1173" customWidth="1"/>
    <col min="9730" max="9732" width="18.7109375" style="1173" customWidth="1"/>
    <col min="9733" max="9984" width="16.140625" style="1173"/>
    <col min="9985" max="9985" width="36.140625" style="1173" customWidth="1"/>
    <col min="9986" max="9988" width="18.7109375" style="1173" customWidth="1"/>
    <col min="9989" max="10240" width="16.140625" style="1173"/>
    <col min="10241" max="10241" width="36.140625" style="1173" customWidth="1"/>
    <col min="10242" max="10244" width="18.7109375" style="1173" customWidth="1"/>
    <col min="10245" max="10496" width="16.140625" style="1173"/>
    <col min="10497" max="10497" width="36.140625" style="1173" customWidth="1"/>
    <col min="10498" max="10500" width="18.7109375" style="1173" customWidth="1"/>
    <col min="10501" max="10752" width="16.140625" style="1173"/>
    <col min="10753" max="10753" width="36.140625" style="1173" customWidth="1"/>
    <col min="10754" max="10756" width="18.7109375" style="1173" customWidth="1"/>
    <col min="10757" max="11008" width="16.140625" style="1173"/>
    <col min="11009" max="11009" width="36.140625" style="1173" customWidth="1"/>
    <col min="11010" max="11012" width="18.7109375" style="1173" customWidth="1"/>
    <col min="11013" max="11264" width="16.140625" style="1173"/>
    <col min="11265" max="11265" width="36.140625" style="1173" customWidth="1"/>
    <col min="11266" max="11268" width="18.7109375" style="1173" customWidth="1"/>
    <col min="11269" max="11520" width="16.140625" style="1173"/>
    <col min="11521" max="11521" width="36.140625" style="1173" customWidth="1"/>
    <col min="11522" max="11524" width="18.7109375" style="1173" customWidth="1"/>
    <col min="11525" max="11776" width="16.140625" style="1173"/>
    <col min="11777" max="11777" width="36.140625" style="1173" customWidth="1"/>
    <col min="11778" max="11780" width="18.7109375" style="1173" customWidth="1"/>
    <col min="11781" max="12032" width="16.140625" style="1173"/>
    <col min="12033" max="12033" width="36.140625" style="1173" customWidth="1"/>
    <col min="12034" max="12036" width="18.7109375" style="1173" customWidth="1"/>
    <col min="12037" max="12288" width="16.140625" style="1173"/>
    <col min="12289" max="12289" width="36.140625" style="1173" customWidth="1"/>
    <col min="12290" max="12292" width="18.7109375" style="1173" customWidth="1"/>
    <col min="12293" max="12544" width="16.140625" style="1173"/>
    <col min="12545" max="12545" width="36.140625" style="1173" customWidth="1"/>
    <col min="12546" max="12548" width="18.7109375" style="1173" customWidth="1"/>
    <col min="12549" max="12800" width="16.140625" style="1173"/>
    <col min="12801" max="12801" width="36.140625" style="1173" customWidth="1"/>
    <col min="12802" max="12804" width="18.7109375" style="1173" customWidth="1"/>
    <col min="12805" max="13056" width="16.140625" style="1173"/>
    <col min="13057" max="13057" width="36.140625" style="1173" customWidth="1"/>
    <col min="13058" max="13060" width="18.7109375" style="1173" customWidth="1"/>
    <col min="13061" max="13312" width="16.140625" style="1173"/>
    <col min="13313" max="13313" width="36.140625" style="1173" customWidth="1"/>
    <col min="13314" max="13316" width="18.7109375" style="1173" customWidth="1"/>
    <col min="13317" max="13568" width="16.140625" style="1173"/>
    <col min="13569" max="13569" width="36.140625" style="1173" customWidth="1"/>
    <col min="13570" max="13572" width="18.7109375" style="1173" customWidth="1"/>
    <col min="13573" max="13824" width="16.140625" style="1173"/>
    <col min="13825" max="13825" width="36.140625" style="1173" customWidth="1"/>
    <col min="13826" max="13828" width="18.7109375" style="1173" customWidth="1"/>
    <col min="13829" max="14080" width="16.140625" style="1173"/>
    <col min="14081" max="14081" width="36.140625" style="1173" customWidth="1"/>
    <col min="14082" max="14084" width="18.7109375" style="1173" customWidth="1"/>
    <col min="14085" max="14336" width="16.140625" style="1173"/>
    <col min="14337" max="14337" width="36.140625" style="1173" customWidth="1"/>
    <col min="14338" max="14340" width="18.7109375" style="1173" customWidth="1"/>
    <col min="14341" max="14592" width="16.140625" style="1173"/>
    <col min="14593" max="14593" width="36.140625" style="1173" customWidth="1"/>
    <col min="14594" max="14596" width="18.7109375" style="1173" customWidth="1"/>
    <col min="14597" max="14848" width="16.140625" style="1173"/>
    <col min="14849" max="14849" width="36.140625" style="1173" customWidth="1"/>
    <col min="14850" max="14852" width="18.7109375" style="1173" customWidth="1"/>
    <col min="14853" max="15104" width="16.140625" style="1173"/>
    <col min="15105" max="15105" width="36.140625" style="1173" customWidth="1"/>
    <col min="15106" max="15108" width="18.7109375" style="1173" customWidth="1"/>
    <col min="15109" max="15360" width="16.140625" style="1173"/>
    <col min="15361" max="15361" width="36.140625" style="1173" customWidth="1"/>
    <col min="15362" max="15364" width="18.7109375" style="1173" customWidth="1"/>
    <col min="15365" max="15616" width="16.140625" style="1173"/>
    <col min="15617" max="15617" width="36.140625" style="1173" customWidth="1"/>
    <col min="15618" max="15620" width="18.7109375" style="1173" customWidth="1"/>
    <col min="15621" max="15872" width="16.140625" style="1173"/>
    <col min="15873" max="15873" width="36.140625" style="1173" customWidth="1"/>
    <col min="15874" max="15876" width="18.7109375" style="1173" customWidth="1"/>
    <col min="15877" max="16128" width="16.140625" style="1173"/>
    <col min="16129" max="16129" width="36.140625" style="1173" customWidth="1"/>
    <col min="16130" max="16132" width="18.7109375" style="1173" customWidth="1"/>
    <col min="16133" max="16384" width="16.140625" style="1173"/>
  </cols>
  <sheetData>
    <row r="1" spans="1:17" s="1162" customFormat="1" ht="19.899999999999999" customHeight="1">
      <c r="A1" s="1160" t="s">
        <v>1609</v>
      </c>
      <c r="B1" s="1161"/>
      <c r="C1" s="1160" t="s">
        <v>1610</v>
      </c>
      <c r="E1" s="1163"/>
      <c r="F1" s="1163" t="s">
        <v>1611</v>
      </c>
      <c r="G1" s="1164"/>
      <c r="H1" s="1165"/>
      <c r="I1" s="1166"/>
      <c r="J1" s="1163"/>
    </row>
    <row r="2" spans="1:17" s="1162" customFormat="1" ht="15.6" customHeight="1">
      <c r="A2" s="1219" t="s">
        <v>1657</v>
      </c>
    </row>
    <row r="3" spans="1:17" ht="15.6" customHeight="1">
      <c r="A3" s="1206"/>
      <c r="E3" s="1171" t="s">
        <v>1613</v>
      </c>
    </row>
    <row r="4" spans="1:17" ht="15.6" customHeight="1">
      <c r="A4" s="1172"/>
      <c r="B4" s="1172"/>
      <c r="C4" s="1172"/>
      <c r="E4" s="1174">
        <v>40</v>
      </c>
      <c r="F4" s="1175"/>
      <c r="G4" s="1176"/>
      <c r="H4" s="1177"/>
      <c r="I4" s="1177"/>
      <c r="J4" s="1177"/>
    </row>
    <row r="5" spans="1:17" ht="15.6" customHeight="1">
      <c r="A5" s="1193" t="s">
        <v>1614</v>
      </c>
      <c r="B5" s="1179" t="s">
        <v>1615</v>
      </c>
      <c r="C5" s="1180" t="s">
        <v>1616</v>
      </c>
      <c r="D5" s="1181" t="s">
        <v>21</v>
      </c>
      <c r="E5" s="1227" t="s">
        <v>1617</v>
      </c>
      <c r="F5" s="1179" t="s">
        <v>1618</v>
      </c>
      <c r="G5" s="1179" t="s">
        <v>1619</v>
      </c>
      <c r="I5" s="1948" t="s">
        <v>1681</v>
      </c>
      <c r="J5" s="1166"/>
      <c r="K5" s="1166"/>
      <c r="L5" s="1166"/>
      <c r="M5" s="1166"/>
      <c r="N5" s="1166"/>
      <c r="O5" s="1166"/>
      <c r="P5" s="1166"/>
      <c r="Q5" s="1166"/>
    </row>
    <row r="6" spans="1:17" ht="15.6" customHeight="1">
      <c r="A6" s="1224" t="s">
        <v>1658</v>
      </c>
      <c r="B6" s="1184">
        <v>20.7</v>
      </c>
      <c r="C6" s="1185">
        <f>B6/B16*1000</f>
        <v>199.81659346493552</v>
      </c>
      <c r="D6" s="1186">
        <f>B6/B16</f>
        <v>0.19981659346493552</v>
      </c>
      <c r="E6" s="1228">
        <f>D6*E4</f>
        <v>7.9926637385974209</v>
      </c>
      <c r="F6" s="1188">
        <v>0</v>
      </c>
      <c r="G6" s="1189">
        <f t="shared" ref="G6:G15" si="0">E6*F6</f>
        <v>0</v>
      </c>
      <c r="I6" s="1166" t="s">
        <v>1682</v>
      </c>
      <c r="J6" s="1166"/>
      <c r="K6" s="1166"/>
      <c r="L6" s="1166"/>
      <c r="M6" s="1166"/>
      <c r="N6" s="1166"/>
      <c r="O6" s="1166"/>
      <c r="P6" s="1166"/>
      <c r="Q6" s="1166"/>
    </row>
    <row r="7" spans="1:17" ht="15.6" customHeight="1">
      <c r="A7" s="1224" t="s">
        <v>1654</v>
      </c>
      <c r="B7" s="1184">
        <v>18</v>
      </c>
      <c r="C7" s="1185">
        <f>B7/B16*1000</f>
        <v>173.75355953472658</v>
      </c>
      <c r="D7" s="1191">
        <f>B7/B16</f>
        <v>0.17375355953472657</v>
      </c>
      <c r="E7" s="1228">
        <f>D7*E4</f>
        <v>6.950142381389063</v>
      </c>
      <c r="F7" s="1188">
        <v>0</v>
      </c>
      <c r="G7" s="1189">
        <f t="shared" si="0"/>
        <v>0</v>
      </c>
      <c r="I7" s="1166" t="s">
        <v>1683</v>
      </c>
      <c r="J7" s="1166"/>
      <c r="K7" s="1166"/>
      <c r="L7" s="1166"/>
      <c r="M7" s="1166"/>
      <c r="N7" s="1166"/>
      <c r="O7" s="1166"/>
      <c r="P7" s="1166"/>
      <c r="Q7" s="1166"/>
    </row>
    <row r="8" spans="1:17" ht="15.6" customHeight="1">
      <c r="A8" s="1173" t="s">
        <v>1622</v>
      </c>
      <c r="B8" s="1184">
        <v>26</v>
      </c>
      <c r="C8" s="1185">
        <f>B8/B16*1000</f>
        <v>250.97736377238277</v>
      </c>
      <c r="D8" s="1191">
        <f>B8/B16</f>
        <v>0.25097736377238278</v>
      </c>
      <c r="E8" s="1228">
        <f>D8*E4</f>
        <v>10.03909455089531</v>
      </c>
      <c r="F8" s="1188">
        <v>0</v>
      </c>
      <c r="G8" s="1189">
        <f t="shared" si="0"/>
        <v>0</v>
      </c>
      <c r="I8" s="1166" t="s">
        <v>1684</v>
      </c>
      <c r="J8" s="1166"/>
      <c r="K8" s="1166"/>
      <c r="L8" s="1166"/>
      <c r="M8" s="1166"/>
      <c r="N8" s="1166"/>
      <c r="O8" s="1166"/>
      <c r="P8" s="1166"/>
      <c r="Q8" s="1166"/>
    </row>
    <row r="9" spans="1:17" ht="15.6" customHeight="1">
      <c r="A9" s="1224" t="s">
        <v>1623</v>
      </c>
      <c r="B9" s="1184">
        <v>30</v>
      </c>
      <c r="C9" s="1185">
        <f>B9/B16*1000</f>
        <v>289.58926589121091</v>
      </c>
      <c r="D9" s="1191">
        <f>B9/B16</f>
        <v>0.28958926589121092</v>
      </c>
      <c r="E9" s="1228">
        <f>D9*E4</f>
        <v>11.583570635648437</v>
      </c>
      <c r="F9" s="1188">
        <v>0</v>
      </c>
      <c r="G9" s="1189">
        <f t="shared" si="0"/>
        <v>0</v>
      </c>
      <c r="I9" s="2642" t="s">
        <v>1685</v>
      </c>
      <c r="J9" s="2642"/>
      <c r="K9" s="2642"/>
      <c r="L9" s="2642"/>
      <c r="M9" s="2642"/>
      <c r="N9" s="2642"/>
      <c r="O9" s="2642"/>
      <c r="P9" s="2642"/>
      <c r="Q9" s="2642"/>
    </row>
    <row r="10" spans="1:17" ht="15.6" customHeight="1">
      <c r="A10" s="1224" t="s">
        <v>579</v>
      </c>
      <c r="B10" s="1184">
        <v>6</v>
      </c>
      <c r="C10" s="1185">
        <f>B10/B16*1000</f>
        <v>57.917853178242183</v>
      </c>
      <c r="D10" s="1191">
        <f>B10/B16</f>
        <v>5.7917853178242183E-2</v>
      </c>
      <c r="E10" s="1228">
        <f>D10*E4</f>
        <v>2.3167141271296874</v>
      </c>
      <c r="F10" s="1188">
        <v>0</v>
      </c>
      <c r="G10" s="1189">
        <f t="shared" si="0"/>
        <v>0</v>
      </c>
      <c r="I10" s="1172"/>
      <c r="J10" s="1172"/>
    </row>
    <row r="11" spans="1:17" ht="15.6" customHeight="1">
      <c r="A11" s="1224" t="s">
        <v>1624</v>
      </c>
      <c r="B11" s="1184">
        <v>1.65</v>
      </c>
      <c r="C11" s="1185">
        <f>B11/B16*1000</f>
        <v>15.927409624016599</v>
      </c>
      <c r="D11" s="1191">
        <f>B11/B16</f>
        <v>1.5927409624016599E-2</v>
      </c>
      <c r="E11" s="1228">
        <f>D11*E4</f>
        <v>0.6370963849606639</v>
      </c>
      <c r="F11" s="1188">
        <v>0</v>
      </c>
      <c r="G11" s="1189">
        <f t="shared" si="0"/>
        <v>0</v>
      </c>
      <c r="I11" s="1172"/>
      <c r="J11" s="1172"/>
    </row>
    <row r="12" spans="1:17" ht="15.6" customHeight="1">
      <c r="A12" s="1224" t="s">
        <v>1625</v>
      </c>
      <c r="B12" s="1184">
        <v>0.12</v>
      </c>
      <c r="C12" s="1185">
        <f>B12/B16*1000</f>
        <v>1.1583570635648437</v>
      </c>
      <c r="D12" s="1191">
        <f>B12/B16</f>
        <v>1.1583570635648438E-3</v>
      </c>
      <c r="E12" s="1228">
        <f>D12*E4</f>
        <v>4.6334282542593752E-2</v>
      </c>
      <c r="F12" s="1188">
        <v>0</v>
      </c>
      <c r="G12" s="1189">
        <f t="shared" si="0"/>
        <v>0</v>
      </c>
      <c r="I12" s="1172"/>
      <c r="J12" s="1172"/>
    </row>
    <row r="13" spans="1:17" ht="15.6" customHeight="1">
      <c r="A13" s="1224" t="s">
        <v>1626</v>
      </c>
      <c r="B13" s="1184">
        <v>0.1</v>
      </c>
      <c r="C13" s="1185">
        <f>B13/B16*1000</f>
        <v>0.96529755297070319</v>
      </c>
      <c r="D13" s="1191">
        <f>B13/B16</f>
        <v>9.6529755297070313E-4</v>
      </c>
      <c r="E13" s="1228">
        <f>D13*E4</f>
        <v>3.8611902118828124E-2</v>
      </c>
      <c r="F13" s="1188">
        <v>0</v>
      </c>
      <c r="G13" s="1189">
        <f t="shared" si="0"/>
        <v>0</v>
      </c>
      <c r="I13" s="1172"/>
      <c r="J13" s="1172"/>
    </row>
    <row r="14" spans="1:17" ht="15.6" customHeight="1">
      <c r="A14" s="1224" t="s">
        <v>1659</v>
      </c>
      <c r="B14" s="1184">
        <v>1</v>
      </c>
      <c r="C14" s="1185">
        <f>B14/B16*1000</f>
        <v>9.6529755297070317</v>
      </c>
      <c r="D14" s="1191">
        <f>B14/B16</f>
        <v>9.6529755297070311E-3</v>
      </c>
      <c r="E14" s="1228">
        <f>D14*E4</f>
        <v>0.38611902118828123</v>
      </c>
      <c r="F14" s="1188">
        <v>0</v>
      </c>
      <c r="G14" s="1189">
        <f t="shared" si="0"/>
        <v>0</v>
      </c>
    </row>
    <row r="15" spans="1:17" ht="15.6" customHeight="1">
      <c r="A15" s="1224" t="s">
        <v>1628</v>
      </c>
      <c r="B15" s="1184">
        <v>2.5000000000000001E-2</v>
      </c>
      <c r="C15" s="1185">
        <f>B15/B16*1000</f>
        <v>0.2413243882426758</v>
      </c>
      <c r="D15" s="1191">
        <f>B15/B16</f>
        <v>2.4132438824267578E-4</v>
      </c>
      <c r="E15" s="1228">
        <f>D15*E4</f>
        <v>9.6529755297070311E-3</v>
      </c>
      <c r="F15" s="1188">
        <v>0</v>
      </c>
      <c r="G15" s="1189">
        <f t="shared" si="0"/>
        <v>0</v>
      </c>
    </row>
    <row r="16" spans="1:17" ht="15.6" customHeight="1">
      <c r="A16" s="1193" t="s">
        <v>22</v>
      </c>
      <c r="B16" s="1194">
        <f>SUM(B6:B15)</f>
        <v>103.59500000000001</v>
      </c>
      <c r="C16" s="1195">
        <f>SUM(C6:C15)</f>
        <v>1000</v>
      </c>
      <c r="D16" s="1191">
        <f>SUM(D6:D15)</f>
        <v>0.99999999999999978</v>
      </c>
      <c r="E16" s="1229">
        <f>SUM(E6:E15)</f>
        <v>39.999999999999986</v>
      </c>
      <c r="F16" s="1189">
        <f>G16/E16</f>
        <v>0</v>
      </c>
      <c r="G16" s="1189">
        <f>SUM(G6:G15)</f>
        <v>0</v>
      </c>
      <c r="I16" s="1172"/>
      <c r="J16" s="1172"/>
    </row>
    <row r="17" spans="1:10" ht="15.6" customHeight="1">
      <c r="A17" s="1197"/>
      <c r="B17" s="1198"/>
      <c r="C17" s="1198"/>
      <c r="D17" s="1199"/>
      <c r="E17" s="1200"/>
      <c r="F17" s="1200"/>
      <c r="G17" s="1200"/>
      <c r="H17" s="1201"/>
      <c r="I17" s="1172"/>
      <c r="J17" s="1172"/>
    </row>
    <row r="18" spans="1:10" ht="15.6" customHeight="1">
      <c r="A18" s="1202" t="s">
        <v>1629</v>
      </c>
      <c r="B18" s="1172"/>
      <c r="C18" s="1203"/>
      <c r="G18" s="1203"/>
      <c r="H18" s="1201"/>
      <c r="I18" s="1172"/>
      <c r="J18" s="1172"/>
    </row>
    <row r="19" spans="1:10" ht="15.6" customHeight="1">
      <c r="A19" s="1204" t="s">
        <v>1630</v>
      </c>
      <c r="B19" s="1205"/>
      <c r="C19" s="1205"/>
      <c r="G19" s="1203"/>
      <c r="H19" s="1201"/>
      <c r="I19" s="1172"/>
      <c r="J19" s="1172"/>
    </row>
    <row r="20" spans="1:10" ht="15.6" customHeight="1">
      <c r="A20" s="1204" t="s">
        <v>1631</v>
      </c>
      <c r="B20" s="1205"/>
      <c r="C20" s="1205"/>
      <c r="G20" s="1203"/>
      <c r="H20" s="1201"/>
      <c r="I20" s="1172"/>
      <c r="J20" s="1172"/>
    </row>
    <row r="21" spans="1:10" ht="15.6" customHeight="1">
      <c r="A21" s="1206" t="s">
        <v>1632</v>
      </c>
      <c r="B21" s="1207"/>
      <c r="C21" s="1207"/>
      <c r="D21" s="1208"/>
      <c r="E21" s="1209"/>
      <c r="F21" s="1209"/>
      <c r="G21" s="1210"/>
      <c r="H21" s="1210"/>
      <c r="I21" s="1172"/>
      <c r="J21" s="1172"/>
    </row>
    <row r="22" spans="1:10" ht="15.6" customHeight="1">
      <c r="A22" s="1211" t="s">
        <v>1660</v>
      </c>
      <c r="B22" s="1212"/>
      <c r="C22" s="1211"/>
      <c r="D22" s="1211"/>
      <c r="E22" s="1211"/>
      <c r="F22" s="1211"/>
      <c r="H22" s="1172"/>
      <c r="I22" s="1172"/>
      <c r="J22" s="1172"/>
    </row>
    <row r="23" spans="1:10" ht="15.6" customHeight="1">
      <c r="A23" s="1211" t="s">
        <v>1661</v>
      </c>
      <c r="B23" s="1213"/>
      <c r="C23" s="1211"/>
      <c r="D23" s="1211"/>
      <c r="E23" s="1211"/>
      <c r="F23" s="1211"/>
      <c r="H23" s="1172"/>
      <c r="I23" s="1172"/>
      <c r="J23" s="1172"/>
    </row>
    <row r="24" spans="1:10" ht="15.6" customHeight="1">
      <c r="A24" s="1214" t="s">
        <v>1635</v>
      </c>
      <c r="B24" s="1172"/>
      <c r="C24" s="1172"/>
      <c r="D24" s="1172"/>
      <c r="E24" s="1177"/>
      <c r="F24" s="1177"/>
      <c r="G24" s="1215" t="s">
        <v>1636</v>
      </c>
      <c r="H24" s="1172"/>
      <c r="I24" s="1172"/>
      <c r="J24" s="1172"/>
    </row>
    <row r="25" spans="1:10" ht="15.6" customHeight="1">
      <c r="A25" s="1214" t="s">
        <v>1637</v>
      </c>
      <c r="B25" s="1216" t="s">
        <v>1638</v>
      </c>
      <c r="C25" s="1216" t="s">
        <v>522</v>
      </c>
      <c r="D25" s="1217"/>
      <c r="E25" s="1172"/>
      <c r="F25" s="1172"/>
      <c r="H25" s="1172"/>
      <c r="I25" s="1172"/>
      <c r="J25" s="1172"/>
    </row>
    <row r="26" spans="1:10" ht="15.6" customHeight="1">
      <c r="A26" s="1218"/>
      <c r="B26" s="1216" t="s">
        <v>1639</v>
      </c>
      <c r="C26" s="1216" t="s">
        <v>1640</v>
      </c>
      <c r="D26" s="1217"/>
      <c r="E26" s="1172"/>
      <c r="F26" s="1172"/>
      <c r="H26" s="1172"/>
      <c r="I26" s="1172"/>
      <c r="J26" s="1172"/>
    </row>
    <row r="27" spans="1:10" ht="15.6" customHeight="1">
      <c r="A27" s="1214" t="s">
        <v>1641</v>
      </c>
      <c r="D27" s="1172"/>
      <c r="E27" s="1177"/>
      <c r="F27" s="1177"/>
      <c r="H27" s="1172"/>
      <c r="I27" s="1172"/>
      <c r="J27" s="1172"/>
    </row>
    <row r="29" spans="1:10" ht="15.6" customHeight="1">
      <c r="A29" s="1215" t="s">
        <v>1642</v>
      </c>
    </row>
    <row r="30" spans="1:10" ht="15.6" customHeight="1">
      <c r="A30" s="1173" t="s">
        <v>1643</v>
      </c>
      <c r="G30" s="1215" t="s">
        <v>1644</v>
      </c>
    </row>
    <row r="31" spans="1:10" ht="15.6" customHeight="1">
      <c r="A31" s="1173" t="s">
        <v>1645</v>
      </c>
    </row>
    <row r="32" spans="1:10" ht="15.6" customHeight="1">
      <c r="A32" s="1173" t="s">
        <v>1646</v>
      </c>
    </row>
    <row r="33" spans="1:1" ht="15.6" customHeight="1">
      <c r="A33" s="1173" t="s">
        <v>1647</v>
      </c>
    </row>
    <row r="35" spans="1:1" ht="15.6" customHeight="1">
      <c r="A35" s="1173" t="s">
        <v>1648</v>
      </c>
    </row>
    <row r="36" spans="1:1" ht="15.6" customHeight="1">
      <c r="A36" s="1173" t="s">
        <v>1649</v>
      </c>
    </row>
    <row r="37" spans="1:1" ht="15.6" customHeight="1">
      <c r="A37" s="1173" t="s">
        <v>1650</v>
      </c>
    </row>
    <row r="38" spans="1:1" ht="15.6" customHeight="1">
      <c r="A38" s="1173" t="s">
        <v>1651</v>
      </c>
    </row>
  </sheetData>
  <mergeCells count="1">
    <mergeCell ref="I9:Q9"/>
  </mergeCells>
  <hyperlinks>
    <hyperlink ref="I9" r:id="rId1" display="http://michelmariette.over-blog.fr/"/>
  </hyperlinks>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Q38"/>
  <sheetViews>
    <sheetView showGridLines="0" workbookViewId="0">
      <selection activeCell="I26" sqref="I26"/>
    </sheetView>
  </sheetViews>
  <sheetFormatPr baseColWidth="10" defaultColWidth="35.5703125" defaultRowHeight="17.45" customHeight="1"/>
  <cols>
    <col min="1" max="1" width="35.5703125" style="1173" customWidth="1"/>
    <col min="2" max="8" width="17.42578125" style="1173" customWidth="1"/>
    <col min="9" max="256" width="35.5703125" style="1173"/>
    <col min="257" max="257" width="35.5703125" style="1173" customWidth="1"/>
    <col min="258" max="264" width="17.42578125" style="1173" customWidth="1"/>
    <col min="265" max="512" width="35.5703125" style="1173"/>
    <col min="513" max="513" width="35.5703125" style="1173" customWidth="1"/>
    <col min="514" max="520" width="17.42578125" style="1173" customWidth="1"/>
    <col min="521" max="768" width="35.5703125" style="1173"/>
    <col min="769" max="769" width="35.5703125" style="1173" customWidth="1"/>
    <col min="770" max="776" width="17.42578125" style="1173" customWidth="1"/>
    <col min="777" max="1024" width="35.5703125" style="1173"/>
    <col min="1025" max="1025" width="35.5703125" style="1173" customWidth="1"/>
    <col min="1026" max="1032" width="17.42578125" style="1173" customWidth="1"/>
    <col min="1033" max="1280" width="35.5703125" style="1173"/>
    <col min="1281" max="1281" width="35.5703125" style="1173" customWidth="1"/>
    <col min="1282" max="1288" width="17.42578125" style="1173" customWidth="1"/>
    <col min="1289" max="1536" width="35.5703125" style="1173"/>
    <col min="1537" max="1537" width="35.5703125" style="1173" customWidth="1"/>
    <col min="1538" max="1544" width="17.42578125" style="1173" customWidth="1"/>
    <col min="1545" max="1792" width="35.5703125" style="1173"/>
    <col min="1793" max="1793" width="35.5703125" style="1173" customWidth="1"/>
    <col min="1794" max="1800" width="17.42578125" style="1173" customWidth="1"/>
    <col min="1801" max="2048" width="35.5703125" style="1173"/>
    <col min="2049" max="2049" width="35.5703125" style="1173" customWidth="1"/>
    <col min="2050" max="2056" width="17.42578125" style="1173" customWidth="1"/>
    <col min="2057" max="2304" width="35.5703125" style="1173"/>
    <col min="2305" max="2305" width="35.5703125" style="1173" customWidth="1"/>
    <col min="2306" max="2312" width="17.42578125" style="1173" customWidth="1"/>
    <col min="2313" max="2560" width="35.5703125" style="1173"/>
    <col min="2561" max="2561" width="35.5703125" style="1173" customWidth="1"/>
    <col min="2562" max="2568" width="17.42578125" style="1173" customWidth="1"/>
    <col min="2569" max="2816" width="35.5703125" style="1173"/>
    <col min="2817" max="2817" width="35.5703125" style="1173" customWidth="1"/>
    <col min="2818" max="2824" width="17.42578125" style="1173" customWidth="1"/>
    <col min="2825" max="3072" width="35.5703125" style="1173"/>
    <col min="3073" max="3073" width="35.5703125" style="1173" customWidth="1"/>
    <col min="3074" max="3080" width="17.42578125" style="1173" customWidth="1"/>
    <col min="3081" max="3328" width="35.5703125" style="1173"/>
    <col min="3329" max="3329" width="35.5703125" style="1173" customWidth="1"/>
    <col min="3330" max="3336" width="17.42578125" style="1173" customWidth="1"/>
    <col min="3337" max="3584" width="35.5703125" style="1173"/>
    <col min="3585" max="3585" width="35.5703125" style="1173" customWidth="1"/>
    <col min="3586" max="3592" width="17.42578125" style="1173" customWidth="1"/>
    <col min="3593" max="3840" width="35.5703125" style="1173"/>
    <col min="3841" max="3841" width="35.5703125" style="1173" customWidth="1"/>
    <col min="3842" max="3848" width="17.42578125" style="1173" customWidth="1"/>
    <col min="3849" max="4096" width="35.5703125" style="1173"/>
    <col min="4097" max="4097" width="35.5703125" style="1173" customWidth="1"/>
    <col min="4098" max="4104" width="17.42578125" style="1173" customWidth="1"/>
    <col min="4105" max="4352" width="35.5703125" style="1173"/>
    <col min="4353" max="4353" width="35.5703125" style="1173" customWidth="1"/>
    <col min="4354" max="4360" width="17.42578125" style="1173" customWidth="1"/>
    <col min="4361" max="4608" width="35.5703125" style="1173"/>
    <col min="4609" max="4609" width="35.5703125" style="1173" customWidth="1"/>
    <col min="4610" max="4616" width="17.42578125" style="1173" customWidth="1"/>
    <col min="4617" max="4864" width="35.5703125" style="1173"/>
    <col min="4865" max="4865" width="35.5703125" style="1173" customWidth="1"/>
    <col min="4866" max="4872" width="17.42578125" style="1173" customWidth="1"/>
    <col min="4873" max="5120" width="35.5703125" style="1173"/>
    <col min="5121" max="5121" width="35.5703125" style="1173" customWidth="1"/>
    <col min="5122" max="5128" width="17.42578125" style="1173" customWidth="1"/>
    <col min="5129" max="5376" width="35.5703125" style="1173"/>
    <col min="5377" max="5377" width="35.5703125" style="1173" customWidth="1"/>
    <col min="5378" max="5384" width="17.42578125" style="1173" customWidth="1"/>
    <col min="5385" max="5632" width="35.5703125" style="1173"/>
    <col min="5633" max="5633" width="35.5703125" style="1173" customWidth="1"/>
    <col min="5634" max="5640" width="17.42578125" style="1173" customWidth="1"/>
    <col min="5641" max="5888" width="35.5703125" style="1173"/>
    <col min="5889" max="5889" width="35.5703125" style="1173" customWidth="1"/>
    <col min="5890" max="5896" width="17.42578125" style="1173" customWidth="1"/>
    <col min="5897" max="6144" width="35.5703125" style="1173"/>
    <col min="6145" max="6145" width="35.5703125" style="1173" customWidth="1"/>
    <col min="6146" max="6152" width="17.42578125" style="1173" customWidth="1"/>
    <col min="6153" max="6400" width="35.5703125" style="1173"/>
    <col min="6401" max="6401" width="35.5703125" style="1173" customWidth="1"/>
    <col min="6402" max="6408" width="17.42578125" style="1173" customWidth="1"/>
    <col min="6409" max="6656" width="35.5703125" style="1173"/>
    <col min="6657" max="6657" width="35.5703125" style="1173" customWidth="1"/>
    <col min="6658" max="6664" width="17.42578125" style="1173" customWidth="1"/>
    <col min="6665" max="6912" width="35.5703125" style="1173"/>
    <col min="6913" max="6913" width="35.5703125" style="1173" customWidth="1"/>
    <col min="6914" max="6920" width="17.42578125" style="1173" customWidth="1"/>
    <col min="6921" max="7168" width="35.5703125" style="1173"/>
    <col min="7169" max="7169" width="35.5703125" style="1173" customWidth="1"/>
    <col min="7170" max="7176" width="17.42578125" style="1173" customWidth="1"/>
    <col min="7177" max="7424" width="35.5703125" style="1173"/>
    <col min="7425" max="7425" width="35.5703125" style="1173" customWidth="1"/>
    <col min="7426" max="7432" width="17.42578125" style="1173" customWidth="1"/>
    <col min="7433" max="7680" width="35.5703125" style="1173"/>
    <col min="7681" max="7681" width="35.5703125" style="1173" customWidth="1"/>
    <col min="7682" max="7688" width="17.42578125" style="1173" customWidth="1"/>
    <col min="7689" max="7936" width="35.5703125" style="1173"/>
    <col min="7937" max="7937" width="35.5703125" style="1173" customWidth="1"/>
    <col min="7938" max="7944" width="17.42578125" style="1173" customWidth="1"/>
    <col min="7945" max="8192" width="35.5703125" style="1173"/>
    <col min="8193" max="8193" width="35.5703125" style="1173" customWidth="1"/>
    <col min="8194" max="8200" width="17.42578125" style="1173" customWidth="1"/>
    <col min="8201" max="8448" width="35.5703125" style="1173"/>
    <col min="8449" max="8449" width="35.5703125" style="1173" customWidth="1"/>
    <col min="8450" max="8456" width="17.42578125" style="1173" customWidth="1"/>
    <col min="8457" max="8704" width="35.5703125" style="1173"/>
    <col min="8705" max="8705" width="35.5703125" style="1173" customWidth="1"/>
    <col min="8706" max="8712" width="17.42578125" style="1173" customWidth="1"/>
    <col min="8713" max="8960" width="35.5703125" style="1173"/>
    <col min="8961" max="8961" width="35.5703125" style="1173" customWidth="1"/>
    <col min="8962" max="8968" width="17.42578125" style="1173" customWidth="1"/>
    <col min="8969" max="9216" width="35.5703125" style="1173"/>
    <col min="9217" max="9217" width="35.5703125" style="1173" customWidth="1"/>
    <col min="9218" max="9224" width="17.42578125" style="1173" customWidth="1"/>
    <col min="9225" max="9472" width="35.5703125" style="1173"/>
    <col min="9473" max="9473" width="35.5703125" style="1173" customWidth="1"/>
    <col min="9474" max="9480" width="17.42578125" style="1173" customWidth="1"/>
    <col min="9481" max="9728" width="35.5703125" style="1173"/>
    <col min="9729" max="9729" width="35.5703125" style="1173" customWidth="1"/>
    <col min="9730" max="9736" width="17.42578125" style="1173" customWidth="1"/>
    <col min="9737" max="9984" width="35.5703125" style="1173"/>
    <col min="9985" max="9985" width="35.5703125" style="1173" customWidth="1"/>
    <col min="9986" max="9992" width="17.42578125" style="1173" customWidth="1"/>
    <col min="9993" max="10240" width="35.5703125" style="1173"/>
    <col min="10241" max="10241" width="35.5703125" style="1173" customWidth="1"/>
    <col min="10242" max="10248" width="17.42578125" style="1173" customWidth="1"/>
    <col min="10249" max="10496" width="35.5703125" style="1173"/>
    <col min="10497" max="10497" width="35.5703125" style="1173" customWidth="1"/>
    <col min="10498" max="10504" width="17.42578125" style="1173" customWidth="1"/>
    <col min="10505" max="10752" width="35.5703125" style="1173"/>
    <col min="10753" max="10753" width="35.5703125" style="1173" customWidth="1"/>
    <col min="10754" max="10760" width="17.42578125" style="1173" customWidth="1"/>
    <col min="10761" max="11008" width="35.5703125" style="1173"/>
    <col min="11009" max="11009" width="35.5703125" style="1173" customWidth="1"/>
    <col min="11010" max="11016" width="17.42578125" style="1173" customWidth="1"/>
    <col min="11017" max="11264" width="35.5703125" style="1173"/>
    <col min="11265" max="11265" width="35.5703125" style="1173" customWidth="1"/>
    <col min="11266" max="11272" width="17.42578125" style="1173" customWidth="1"/>
    <col min="11273" max="11520" width="35.5703125" style="1173"/>
    <col min="11521" max="11521" width="35.5703125" style="1173" customWidth="1"/>
    <col min="11522" max="11528" width="17.42578125" style="1173" customWidth="1"/>
    <col min="11529" max="11776" width="35.5703125" style="1173"/>
    <col min="11777" max="11777" width="35.5703125" style="1173" customWidth="1"/>
    <col min="11778" max="11784" width="17.42578125" style="1173" customWidth="1"/>
    <col min="11785" max="12032" width="35.5703125" style="1173"/>
    <col min="12033" max="12033" width="35.5703125" style="1173" customWidth="1"/>
    <col min="12034" max="12040" width="17.42578125" style="1173" customWidth="1"/>
    <col min="12041" max="12288" width="35.5703125" style="1173"/>
    <col min="12289" max="12289" width="35.5703125" style="1173" customWidth="1"/>
    <col min="12290" max="12296" width="17.42578125" style="1173" customWidth="1"/>
    <col min="12297" max="12544" width="35.5703125" style="1173"/>
    <col min="12545" max="12545" width="35.5703125" style="1173" customWidth="1"/>
    <col min="12546" max="12552" width="17.42578125" style="1173" customWidth="1"/>
    <col min="12553" max="12800" width="35.5703125" style="1173"/>
    <col min="12801" max="12801" width="35.5703125" style="1173" customWidth="1"/>
    <col min="12802" max="12808" width="17.42578125" style="1173" customWidth="1"/>
    <col min="12809" max="13056" width="35.5703125" style="1173"/>
    <col min="13057" max="13057" width="35.5703125" style="1173" customWidth="1"/>
    <col min="13058" max="13064" width="17.42578125" style="1173" customWidth="1"/>
    <col min="13065" max="13312" width="35.5703125" style="1173"/>
    <col min="13313" max="13313" width="35.5703125" style="1173" customWidth="1"/>
    <col min="13314" max="13320" width="17.42578125" style="1173" customWidth="1"/>
    <col min="13321" max="13568" width="35.5703125" style="1173"/>
    <col min="13569" max="13569" width="35.5703125" style="1173" customWidth="1"/>
    <col min="13570" max="13576" width="17.42578125" style="1173" customWidth="1"/>
    <col min="13577" max="13824" width="35.5703125" style="1173"/>
    <col min="13825" max="13825" width="35.5703125" style="1173" customWidth="1"/>
    <col min="13826" max="13832" width="17.42578125" style="1173" customWidth="1"/>
    <col min="13833" max="14080" width="35.5703125" style="1173"/>
    <col min="14081" max="14081" width="35.5703125" style="1173" customWidth="1"/>
    <col min="14082" max="14088" width="17.42578125" style="1173" customWidth="1"/>
    <col min="14089" max="14336" width="35.5703125" style="1173"/>
    <col min="14337" max="14337" width="35.5703125" style="1173" customWidth="1"/>
    <col min="14338" max="14344" width="17.42578125" style="1173" customWidth="1"/>
    <col min="14345" max="14592" width="35.5703125" style="1173"/>
    <col min="14593" max="14593" width="35.5703125" style="1173" customWidth="1"/>
    <col min="14594" max="14600" width="17.42578125" style="1173" customWidth="1"/>
    <col min="14601" max="14848" width="35.5703125" style="1173"/>
    <col min="14849" max="14849" width="35.5703125" style="1173" customWidth="1"/>
    <col min="14850" max="14856" width="17.42578125" style="1173" customWidth="1"/>
    <col min="14857" max="15104" width="35.5703125" style="1173"/>
    <col min="15105" max="15105" width="35.5703125" style="1173" customWidth="1"/>
    <col min="15106" max="15112" width="17.42578125" style="1173" customWidth="1"/>
    <col min="15113" max="15360" width="35.5703125" style="1173"/>
    <col min="15361" max="15361" width="35.5703125" style="1173" customWidth="1"/>
    <col min="15362" max="15368" width="17.42578125" style="1173" customWidth="1"/>
    <col min="15369" max="15616" width="35.5703125" style="1173"/>
    <col min="15617" max="15617" width="35.5703125" style="1173" customWidth="1"/>
    <col min="15618" max="15624" width="17.42578125" style="1173" customWidth="1"/>
    <col min="15625" max="15872" width="35.5703125" style="1173"/>
    <col min="15873" max="15873" width="35.5703125" style="1173" customWidth="1"/>
    <col min="15874" max="15880" width="17.42578125" style="1173" customWidth="1"/>
    <col min="15881" max="16128" width="35.5703125" style="1173"/>
    <col min="16129" max="16129" width="35.5703125" style="1173" customWidth="1"/>
    <col min="16130" max="16136" width="17.42578125" style="1173" customWidth="1"/>
    <col min="16137" max="16384" width="35.5703125" style="1173"/>
  </cols>
  <sheetData>
    <row r="1" spans="1:17" s="1162" customFormat="1" ht="19.149999999999999" customHeight="1">
      <c r="A1" s="1160" t="s">
        <v>1609</v>
      </c>
      <c r="B1" s="1161"/>
      <c r="C1" s="1160" t="s">
        <v>1652</v>
      </c>
      <c r="E1" s="1163"/>
      <c r="F1" s="1163" t="s">
        <v>1611</v>
      </c>
      <c r="G1" s="1164"/>
      <c r="H1" s="1165"/>
      <c r="I1" s="1166"/>
      <c r="J1" s="1163"/>
    </row>
    <row r="2" spans="1:17" s="1162" customFormat="1" ht="17.45" customHeight="1">
      <c r="A2" s="1219" t="s">
        <v>1653</v>
      </c>
    </row>
    <row r="3" spans="1:17" ht="17.45" customHeight="1">
      <c r="A3" s="1206"/>
      <c r="E3" s="1171" t="s">
        <v>1613</v>
      </c>
    </row>
    <row r="4" spans="1:17" ht="17.45" customHeight="1">
      <c r="A4" s="1172"/>
      <c r="B4" s="1172"/>
      <c r="C4" s="1172"/>
      <c r="E4" s="1174">
        <v>50</v>
      </c>
      <c r="F4" s="1175"/>
      <c r="G4" s="1176"/>
      <c r="H4" s="1177"/>
      <c r="I4" s="1177"/>
      <c r="J4" s="1177"/>
    </row>
    <row r="5" spans="1:17" ht="17.45" customHeight="1">
      <c r="A5" s="1193" t="s">
        <v>1614</v>
      </c>
      <c r="B5" s="1220" t="s">
        <v>1615</v>
      </c>
      <c r="C5" s="1221" t="s">
        <v>1616</v>
      </c>
      <c r="D5" s="1222" t="s">
        <v>21</v>
      </c>
      <c r="E5" s="1223" t="s">
        <v>1617</v>
      </c>
      <c r="F5" s="1220" t="s">
        <v>1618</v>
      </c>
      <c r="G5" s="1220" t="s">
        <v>1619</v>
      </c>
      <c r="I5" s="1948" t="s">
        <v>1681</v>
      </c>
      <c r="J5" s="1166"/>
      <c r="K5" s="1166"/>
      <c r="L5" s="1166"/>
      <c r="M5" s="1166"/>
      <c r="N5" s="1166"/>
      <c r="O5" s="1166"/>
      <c r="P5" s="1166"/>
      <c r="Q5" s="1166"/>
    </row>
    <row r="6" spans="1:17" ht="17.45" customHeight="1">
      <c r="A6" s="1224" t="s">
        <v>1620</v>
      </c>
      <c r="B6" s="1184">
        <v>32.200000000000003</v>
      </c>
      <c r="C6" s="1185">
        <f>B6/B16*1000</f>
        <v>309.89846494393919</v>
      </c>
      <c r="D6" s="1186">
        <f>B6/B16</f>
        <v>0.30989846494393919</v>
      </c>
      <c r="E6" s="1225">
        <f>D6*E4</f>
        <v>15.49492324719696</v>
      </c>
      <c r="F6" s="1188">
        <v>0</v>
      </c>
      <c r="G6" s="1189">
        <f t="shared" ref="G6:G15" si="0">E6*F6</f>
        <v>0</v>
      </c>
      <c r="I6" s="1166" t="s">
        <v>1682</v>
      </c>
      <c r="J6" s="1166"/>
      <c r="K6" s="1166"/>
      <c r="L6" s="1166"/>
      <c r="M6" s="1166"/>
      <c r="N6" s="1166"/>
      <c r="O6" s="1166"/>
      <c r="P6" s="1166"/>
      <c r="Q6" s="1166"/>
    </row>
    <row r="7" spans="1:17" ht="17.45" customHeight="1">
      <c r="A7" s="1224" t="s">
        <v>1654</v>
      </c>
      <c r="B7" s="1184">
        <v>6</v>
      </c>
      <c r="C7" s="1185">
        <f>B7/B16*1000</f>
        <v>57.745055579616</v>
      </c>
      <c r="D7" s="1191">
        <f>B7/B16</f>
        <v>5.7745055579615998E-2</v>
      </c>
      <c r="E7" s="1225">
        <f>D7*E4</f>
        <v>2.8872527789808</v>
      </c>
      <c r="F7" s="1188">
        <v>0</v>
      </c>
      <c r="G7" s="1189">
        <f t="shared" si="0"/>
        <v>0</v>
      </c>
      <c r="I7" s="1166" t="s">
        <v>1683</v>
      </c>
      <c r="J7" s="1166"/>
      <c r="K7" s="1166"/>
      <c r="L7" s="1166"/>
      <c r="M7" s="1166"/>
      <c r="N7" s="1166"/>
      <c r="O7" s="1166"/>
      <c r="P7" s="1166"/>
      <c r="Q7" s="1166"/>
    </row>
    <row r="8" spans="1:17" ht="17.45" customHeight="1">
      <c r="A8" s="1173" t="s">
        <v>1622</v>
      </c>
      <c r="B8" s="1184">
        <v>26</v>
      </c>
      <c r="C8" s="1185">
        <f>B8/B16*1000</f>
        <v>250.228574178336</v>
      </c>
      <c r="D8" s="1191">
        <f>B8/B16</f>
        <v>0.25022857417833599</v>
      </c>
      <c r="E8" s="1225">
        <f>D8*E4</f>
        <v>12.511428708916799</v>
      </c>
      <c r="F8" s="1188">
        <v>0</v>
      </c>
      <c r="G8" s="1189">
        <f t="shared" si="0"/>
        <v>0</v>
      </c>
      <c r="I8" s="1166" t="s">
        <v>1684</v>
      </c>
      <c r="J8" s="1166"/>
      <c r="K8" s="1166"/>
      <c r="L8" s="1166"/>
      <c r="M8" s="1166"/>
      <c r="N8" s="1166"/>
      <c r="O8" s="1166"/>
      <c r="P8" s="1166"/>
      <c r="Q8" s="1166"/>
    </row>
    <row r="9" spans="1:17" ht="17.45" customHeight="1">
      <c r="A9" s="1224" t="s">
        <v>1623</v>
      </c>
      <c r="B9" s="1184">
        <v>30</v>
      </c>
      <c r="C9" s="1185">
        <f>B9/B16*1000</f>
        <v>288.72527789807992</v>
      </c>
      <c r="D9" s="1191">
        <f>B9/B16</f>
        <v>0.28872527789807995</v>
      </c>
      <c r="E9" s="1225">
        <f>D9*E4</f>
        <v>14.436263894903997</v>
      </c>
      <c r="F9" s="1188">
        <v>0</v>
      </c>
      <c r="G9" s="1189">
        <f t="shared" si="0"/>
        <v>0</v>
      </c>
      <c r="I9" s="2642" t="s">
        <v>1685</v>
      </c>
      <c r="J9" s="2642"/>
      <c r="K9" s="2642"/>
      <c r="L9" s="2642"/>
      <c r="M9" s="2642"/>
      <c r="N9" s="2642"/>
      <c r="O9" s="2642"/>
      <c r="P9" s="2642"/>
      <c r="Q9" s="2642"/>
    </row>
    <row r="10" spans="1:17" ht="17.45" customHeight="1">
      <c r="A10" s="1224" t="s">
        <v>579</v>
      </c>
      <c r="B10" s="1184">
        <v>6</v>
      </c>
      <c r="C10" s="1185">
        <f>B10/B16*1000</f>
        <v>57.745055579616</v>
      </c>
      <c r="D10" s="1191">
        <f>B10/B16</f>
        <v>5.7745055579615998E-2</v>
      </c>
      <c r="E10" s="1225">
        <f>D10*E4</f>
        <v>2.8872527789808</v>
      </c>
      <c r="F10" s="1188">
        <v>0</v>
      </c>
      <c r="G10" s="1189">
        <f t="shared" si="0"/>
        <v>0</v>
      </c>
      <c r="I10" s="1172"/>
      <c r="J10" s="1172"/>
    </row>
    <row r="11" spans="1:17" ht="17.45" customHeight="1">
      <c r="A11" s="1224" t="s">
        <v>1624</v>
      </c>
      <c r="B11" s="1184">
        <v>1.65</v>
      </c>
      <c r="C11" s="1185">
        <f>B11/B16*1000</f>
        <v>15.879890284394397</v>
      </c>
      <c r="D11" s="1191">
        <f>B11/B16</f>
        <v>1.5879890284394398E-2</v>
      </c>
      <c r="E11" s="1225">
        <f>D11*E4</f>
        <v>0.79399451421971989</v>
      </c>
      <c r="F11" s="1188">
        <v>0</v>
      </c>
      <c r="G11" s="1189">
        <f t="shared" si="0"/>
        <v>0</v>
      </c>
      <c r="I11" s="1172"/>
      <c r="J11" s="1172"/>
    </row>
    <row r="12" spans="1:17" ht="17.45" customHeight="1">
      <c r="A12" s="1224" t="s">
        <v>1625</v>
      </c>
      <c r="B12" s="1184">
        <v>0.13</v>
      </c>
      <c r="C12" s="1185">
        <f>B12/B16*1000</f>
        <v>1.2511428708916799</v>
      </c>
      <c r="D12" s="1191">
        <f>B12/B16</f>
        <v>1.25114287089168E-3</v>
      </c>
      <c r="E12" s="1225">
        <f>D12*E4</f>
        <v>6.2557143544583999E-2</v>
      </c>
      <c r="F12" s="1188">
        <v>0</v>
      </c>
      <c r="G12" s="1189">
        <f t="shared" si="0"/>
        <v>0</v>
      </c>
      <c r="I12" s="1172"/>
      <c r="J12" s="1172"/>
    </row>
    <row r="13" spans="1:17" ht="17.45" customHeight="1">
      <c r="A13" s="1224" t="s">
        <v>1626</v>
      </c>
      <c r="B13" s="1184">
        <v>0.1</v>
      </c>
      <c r="C13" s="1185">
        <f>B13/B16*1000</f>
        <v>0.96241759299359997</v>
      </c>
      <c r="D13" s="1191">
        <f>B13/B16</f>
        <v>9.624175929936E-4</v>
      </c>
      <c r="E13" s="1225">
        <f>D13*E4</f>
        <v>4.8120879649680003E-2</v>
      </c>
      <c r="F13" s="1188">
        <v>0</v>
      </c>
      <c r="G13" s="1189">
        <f t="shared" si="0"/>
        <v>0</v>
      </c>
      <c r="I13" s="1172"/>
      <c r="J13" s="1172"/>
    </row>
    <row r="14" spans="1:17" ht="17.45" customHeight="1">
      <c r="A14" s="1224" t="s">
        <v>1158</v>
      </c>
      <c r="B14" s="1184">
        <v>1.8</v>
      </c>
      <c r="C14" s="1185">
        <f>B14/B16*1000</f>
        <v>17.3235166738848</v>
      </c>
      <c r="D14" s="1191">
        <f>B14/B16</f>
        <v>1.7323516673884799E-2</v>
      </c>
      <c r="E14" s="1225">
        <f>D14*E4</f>
        <v>0.86617583369424</v>
      </c>
      <c r="F14" s="1188">
        <v>0</v>
      </c>
      <c r="G14" s="1189">
        <f t="shared" si="0"/>
        <v>0</v>
      </c>
    </row>
    <row r="15" spans="1:17" ht="17.45" customHeight="1">
      <c r="A15" s="1224" t="s">
        <v>1628</v>
      </c>
      <c r="B15" s="1184">
        <v>2.5000000000000001E-2</v>
      </c>
      <c r="C15" s="1185">
        <f>B15/B16*1000</f>
        <v>0.24060439824839999</v>
      </c>
      <c r="D15" s="1191">
        <f>B15/B16</f>
        <v>2.406043982484E-4</v>
      </c>
      <c r="E15" s="1225">
        <f>D15*E4</f>
        <v>1.2030219912420001E-2</v>
      </c>
      <c r="F15" s="1188">
        <v>0</v>
      </c>
      <c r="G15" s="1189">
        <f t="shared" si="0"/>
        <v>0</v>
      </c>
    </row>
    <row r="16" spans="1:17" ht="17.45" customHeight="1">
      <c r="A16" s="1193" t="s">
        <v>22</v>
      </c>
      <c r="B16" s="1194">
        <f>SUM(B6:B15)</f>
        <v>103.905</v>
      </c>
      <c r="C16" s="1195">
        <f>SUM(C6:C15)</f>
        <v>999.99999999999989</v>
      </c>
      <c r="D16" s="1191">
        <f>SUM(D6:D15)</f>
        <v>1</v>
      </c>
      <c r="E16" s="1226">
        <f>SUM(E6:E15)</f>
        <v>50</v>
      </c>
      <c r="F16" s="1189">
        <f>G16/E16</f>
        <v>0</v>
      </c>
      <c r="G16" s="1189">
        <f>SUM(G6:G15)</f>
        <v>0</v>
      </c>
      <c r="I16" s="1172"/>
      <c r="J16" s="1172"/>
    </row>
    <row r="17" spans="1:10" ht="17.45" customHeight="1">
      <c r="A17" s="1197"/>
      <c r="B17" s="1198"/>
      <c r="C17" s="1198"/>
      <c r="D17" s="1199"/>
      <c r="E17" s="1200"/>
      <c r="F17" s="1200"/>
      <c r="G17" s="1200"/>
      <c r="H17" s="1201"/>
      <c r="I17" s="1172"/>
      <c r="J17" s="1172"/>
    </row>
    <row r="18" spans="1:10" ht="17.45" customHeight="1">
      <c r="A18" s="1202" t="s">
        <v>1629</v>
      </c>
      <c r="B18" s="1172"/>
      <c r="C18" s="1203"/>
      <c r="G18" s="1203"/>
      <c r="H18" s="1201"/>
      <c r="I18" s="1172"/>
      <c r="J18" s="1172"/>
    </row>
    <row r="19" spans="1:10" ht="17.45" customHeight="1">
      <c r="A19" s="1204" t="s">
        <v>1630</v>
      </c>
      <c r="B19" s="1205"/>
      <c r="C19" s="1205"/>
      <c r="G19" s="1203"/>
      <c r="H19" s="1201"/>
      <c r="I19" s="1172"/>
      <c r="J19" s="1172"/>
    </row>
    <row r="20" spans="1:10" ht="17.45" customHeight="1">
      <c r="A20" s="1204" t="s">
        <v>1631</v>
      </c>
      <c r="B20" s="1205"/>
      <c r="C20" s="1205"/>
      <c r="G20" s="1203"/>
      <c r="H20" s="1201"/>
      <c r="I20" s="1172"/>
      <c r="J20" s="1172"/>
    </row>
    <row r="21" spans="1:10" ht="17.45" customHeight="1">
      <c r="A21" s="1206" t="s">
        <v>1632</v>
      </c>
      <c r="B21" s="1207"/>
      <c r="C21" s="1207"/>
      <c r="D21" s="1208"/>
      <c r="E21" s="1209"/>
      <c r="F21" s="1209"/>
      <c r="G21" s="1210"/>
      <c r="H21" s="1210"/>
      <c r="I21" s="1172"/>
      <c r="J21" s="1172"/>
    </row>
    <row r="22" spans="1:10" ht="17.45" customHeight="1">
      <c r="A22" s="1211" t="s">
        <v>1655</v>
      </c>
      <c r="B22" s="1212"/>
      <c r="C22" s="1211"/>
      <c r="D22" s="1211"/>
      <c r="E22" s="1211"/>
      <c r="F22" s="1211"/>
      <c r="H22" s="1172"/>
      <c r="I22" s="1172"/>
      <c r="J22" s="1172"/>
    </row>
    <row r="23" spans="1:10" ht="17.45" customHeight="1">
      <c r="A23" s="1211" t="s">
        <v>1656</v>
      </c>
      <c r="B23" s="1213"/>
      <c r="C23" s="1211"/>
      <c r="D23" s="1211"/>
      <c r="E23" s="1211"/>
      <c r="F23" s="1211"/>
      <c r="H23" s="1172"/>
      <c r="I23" s="1172"/>
      <c r="J23" s="1172"/>
    </row>
    <row r="24" spans="1:10" ht="17.45" customHeight="1">
      <c r="A24" s="1214" t="s">
        <v>1635</v>
      </c>
      <c r="B24" s="1172"/>
      <c r="C24" s="1172"/>
      <c r="D24" s="1172"/>
      <c r="E24" s="1177"/>
      <c r="F24" s="1177"/>
      <c r="H24" s="1172"/>
      <c r="I24" s="1172"/>
      <c r="J24" s="1172"/>
    </row>
    <row r="25" spans="1:10" ht="17.45" customHeight="1">
      <c r="A25" s="1214" t="s">
        <v>1637</v>
      </c>
      <c r="B25" s="1216" t="s">
        <v>1638</v>
      </c>
      <c r="C25" s="1216" t="s">
        <v>522</v>
      </c>
      <c r="D25" s="1217"/>
      <c r="E25" s="1172"/>
      <c r="F25" s="1172"/>
      <c r="G25" s="1215" t="s">
        <v>1636</v>
      </c>
      <c r="H25" s="1172"/>
      <c r="I25" s="1172"/>
      <c r="J25" s="1172"/>
    </row>
    <row r="26" spans="1:10" ht="17.45" customHeight="1">
      <c r="A26" s="1218"/>
      <c r="B26" s="1216" t="s">
        <v>1639</v>
      </c>
      <c r="C26" s="1216" t="s">
        <v>1640</v>
      </c>
      <c r="D26" s="1217"/>
      <c r="E26" s="1172"/>
      <c r="F26" s="1172"/>
      <c r="H26" s="1172"/>
      <c r="I26" s="1172"/>
      <c r="J26" s="1172"/>
    </row>
    <row r="27" spans="1:10" ht="17.45" customHeight="1">
      <c r="A27" s="1214" t="s">
        <v>1641</v>
      </c>
      <c r="D27" s="1172"/>
      <c r="E27" s="1177"/>
      <c r="F27" s="1177"/>
      <c r="H27" s="1172"/>
      <c r="I27" s="1172"/>
      <c r="J27" s="1172"/>
    </row>
    <row r="29" spans="1:10" ht="17.45" customHeight="1">
      <c r="A29" s="1215" t="s">
        <v>1642</v>
      </c>
    </row>
    <row r="30" spans="1:10" ht="17.45" customHeight="1">
      <c r="A30" s="1173" t="s">
        <v>1643</v>
      </c>
      <c r="G30" s="1215" t="s">
        <v>1644</v>
      </c>
    </row>
    <row r="31" spans="1:10" ht="17.45" customHeight="1">
      <c r="A31" s="1173" t="s">
        <v>1645</v>
      </c>
    </row>
    <row r="32" spans="1:10" ht="17.45" customHeight="1">
      <c r="A32" s="1173" t="s">
        <v>1646</v>
      </c>
    </row>
    <row r="33" spans="1:1" ht="17.45" customHeight="1">
      <c r="A33" s="1173" t="s">
        <v>1647</v>
      </c>
    </row>
    <row r="35" spans="1:1" ht="17.45" customHeight="1">
      <c r="A35" s="1173" t="s">
        <v>1648</v>
      </c>
    </row>
    <row r="36" spans="1:1" ht="17.45" customHeight="1">
      <c r="A36" s="1173" t="s">
        <v>1649</v>
      </c>
    </row>
    <row r="37" spans="1:1" ht="17.45" customHeight="1">
      <c r="A37" s="1173" t="s">
        <v>1650</v>
      </c>
    </row>
    <row r="38" spans="1:1" ht="17.45" customHeight="1">
      <c r="A38" s="1173" t="s">
        <v>1651</v>
      </c>
    </row>
  </sheetData>
  <mergeCells count="1">
    <mergeCell ref="I9:Q9"/>
  </mergeCells>
  <hyperlinks>
    <hyperlink ref="I9" r:id="rId1" display="http://michelmariette.over-blog.fr/"/>
  </hyperlinks>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dimension ref="A1:Q38"/>
  <sheetViews>
    <sheetView showGridLines="0" workbookViewId="0">
      <selection activeCell="I30" sqref="I30"/>
    </sheetView>
  </sheetViews>
  <sheetFormatPr baseColWidth="10" defaultColWidth="13" defaultRowHeight="17.45" customHeight="1"/>
  <cols>
    <col min="1" max="1" width="36.28515625" style="1173" customWidth="1"/>
    <col min="2" max="7" width="17.5703125" style="1173" customWidth="1"/>
    <col min="8" max="256" width="13" style="1173"/>
    <col min="257" max="257" width="36.28515625" style="1173" customWidth="1"/>
    <col min="258" max="263" width="17.5703125" style="1173" customWidth="1"/>
    <col min="264" max="512" width="13" style="1173"/>
    <col min="513" max="513" width="36.28515625" style="1173" customWidth="1"/>
    <col min="514" max="519" width="17.5703125" style="1173" customWidth="1"/>
    <col min="520" max="768" width="13" style="1173"/>
    <col min="769" max="769" width="36.28515625" style="1173" customWidth="1"/>
    <col min="770" max="775" width="17.5703125" style="1173" customWidth="1"/>
    <col min="776" max="1024" width="13" style="1173"/>
    <col min="1025" max="1025" width="36.28515625" style="1173" customWidth="1"/>
    <col min="1026" max="1031" width="17.5703125" style="1173" customWidth="1"/>
    <col min="1032" max="1280" width="13" style="1173"/>
    <col min="1281" max="1281" width="36.28515625" style="1173" customWidth="1"/>
    <col min="1282" max="1287" width="17.5703125" style="1173" customWidth="1"/>
    <col min="1288" max="1536" width="13" style="1173"/>
    <col min="1537" max="1537" width="36.28515625" style="1173" customWidth="1"/>
    <col min="1538" max="1543" width="17.5703125" style="1173" customWidth="1"/>
    <col min="1544" max="1792" width="13" style="1173"/>
    <col min="1793" max="1793" width="36.28515625" style="1173" customWidth="1"/>
    <col min="1794" max="1799" width="17.5703125" style="1173" customWidth="1"/>
    <col min="1800" max="2048" width="13" style="1173"/>
    <col min="2049" max="2049" width="36.28515625" style="1173" customWidth="1"/>
    <col min="2050" max="2055" width="17.5703125" style="1173" customWidth="1"/>
    <col min="2056" max="2304" width="13" style="1173"/>
    <col min="2305" max="2305" width="36.28515625" style="1173" customWidth="1"/>
    <col min="2306" max="2311" width="17.5703125" style="1173" customWidth="1"/>
    <col min="2312" max="2560" width="13" style="1173"/>
    <col min="2561" max="2561" width="36.28515625" style="1173" customWidth="1"/>
    <col min="2562" max="2567" width="17.5703125" style="1173" customWidth="1"/>
    <col min="2568" max="2816" width="13" style="1173"/>
    <col min="2817" max="2817" width="36.28515625" style="1173" customWidth="1"/>
    <col min="2818" max="2823" width="17.5703125" style="1173" customWidth="1"/>
    <col min="2824" max="3072" width="13" style="1173"/>
    <col min="3073" max="3073" width="36.28515625" style="1173" customWidth="1"/>
    <col min="3074" max="3079" width="17.5703125" style="1173" customWidth="1"/>
    <col min="3080" max="3328" width="13" style="1173"/>
    <col min="3329" max="3329" width="36.28515625" style="1173" customWidth="1"/>
    <col min="3330" max="3335" width="17.5703125" style="1173" customWidth="1"/>
    <col min="3336" max="3584" width="13" style="1173"/>
    <col min="3585" max="3585" width="36.28515625" style="1173" customWidth="1"/>
    <col min="3586" max="3591" width="17.5703125" style="1173" customWidth="1"/>
    <col min="3592" max="3840" width="13" style="1173"/>
    <col min="3841" max="3841" width="36.28515625" style="1173" customWidth="1"/>
    <col min="3842" max="3847" width="17.5703125" style="1173" customWidth="1"/>
    <col min="3848" max="4096" width="13" style="1173"/>
    <col min="4097" max="4097" width="36.28515625" style="1173" customWidth="1"/>
    <col min="4098" max="4103" width="17.5703125" style="1173" customWidth="1"/>
    <col min="4104" max="4352" width="13" style="1173"/>
    <col min="4353" max="4353" width="36.28515625" style="1173" customWidth="1"/>
    <col min="4354" max="4359" width="17.5703125" style="1173" customWidth="1"/>
    <col min="4360" max="4608" width="13" style="1173"/>
    <col min="4609" max="4609" width="36.28515625" style="1173" customWidth="1"/>
    <col min="4610" max="4615" width="17.5703125" style="1173" customWidth="1"/>
    <col min="4616" max="4864" width="13" style="1173"/>
    <col min="4865" max="4865" width="36.28515625" style="1173" customWidth="1"/>
    <col min="4866" max="4871" width="17.5703125" style="1173" customWidth="1"/>
    <col min="4872" max="5120" width="13" style="1173"/>
    <col min="5121" max="5121" width="36.28515625" style="1173" customWidth="1"/>
    <col min="5122" max="5127" width="17.5703125" style="1173" customWidth="1"/>
    <col min="5128" max="5376" width="13" style="1173"/>
    <col min="5377" max="5377" width="36.28515625" style="1173" customWidth="1"/>
    <col min="5378" max="5383" width="17.5703125" style="1173" customWidth="1"/>
    <col min="5384" max="5632" width="13" style="1173"/>
    <col min="5633" max="5633" width="36.28515625" style="1173" customWidth="1"/>
    <col min="5634" max="5639" width="17.5703125" style="1173" customWidth="1"/>
    <col min="5640" max="5888" width="13" style="1173"/>
    <col min="5889" max="5889" width="36.28515625" style="1173" customWidth="1"/>
    <col min="5890" max="5895" width="17.5703125" style="1173" customWidth="1"/>
    <col min="5896" max="6144" width="13" style="1173"/>
    <col min="6145" max="6145" width="36.28515625" style="1173" customWidth="1"/>
    <col min="6146" max="6151" width="17.5703125" style="1173" customWidth="1"/>
    <col min="6152" max="6400" width="13" style="1173"/>
    <col min="6401" max="6401" width="36.28515625" style="1173" customWidth="1"/>
    <col min="6402" max="6407" width="17.5703125" style="1173" customWidth="1"/>
    <col min="6408" max="6656" width="13" style="1173"/>
    <col min="6657" max="6657" width="36.28515625" style="1173" customWidth="1"/>
    <col min="6658" max="6663" width="17.5703125" style="1173" customWidth="1"/>
    <col min="6664" max="6912" width="13" style="1173"/>
    <col min="6913" max="6913" width="36.28515625" style="1173" customWidth="1"/>
    <col min="6914" max="6919" width="17.5703125" style="1173" customWidth="1"/>
    <col min="6920" max="7168" width="13" style="1173"/>
    <col min="7169" max="7169" width="36.28515625" style="1173" customWidth="1"/>
    <col min="7170" max="7175" width="17.5703125" style="1173" customWidth="1"/>
    <col min="7176" max="7424" width="13" style="1173"/>
    <col min="7425" max="7425" width="36.28515625" style="1173" customWidth="1"/>
    <col min="7426" max="7431" width="17.5703125" style="1173" customWidth="1"/>
    <col min="7432" max="7680" width="13" style="1173"/>
    <col min="7681" max="7681" width="36.28515625" style="1173" customWidth="1"/>
    <col min="7682" max="7687" width="17.5703125" style="1173" customWidth="1"/>
    <col min="7688" max="7936" width="13" style="1173"/>
    <col min="7937" max="7937" width="36.28515625" style="1173" customWidth="1"/>
    <col min="7938" max="7943" width="17.5703125" style="1173" customWidth="1"/>
    <col min="7944" max="8192" width="13" style="1173"/>
    <col min="8193" max="8193" width="36.28515625" style="1173" customWidth="1"/>
    <col min="8194" max="8199" width="17.5703125" style="1173" customWidth="1"/>
    <col min="8200" max="8448" width="13" style="1173"/>
    <col min="8449" max="8449" width="36.28515625" style="1173" customWidth="1"/>
    <col min="8450" max="8455" width="17.5703125" style="1173" customWidth="1"/>
    <col min="8456" max="8704" width="13" style="1173"/>
    <col min="8705" max="8705" width="36.28515625" style="1173" customWidth="1"/>
    <col min="8706" max="8711" width="17.5703125" style="1173" customWidth="1"/>
    <col min="8712" max="8960" width="13" style="1173"/>
    <col min="8961" max="8961" width="36.28515625" style="1173" customWidth="1"/>
    <col min="8962" max="8967" width="17.5703125" style="1173" customWidth="1"/>
    <col min="8968" max="9216" width="13" style="1173"/>
    <col min="9217" max="9217" width="36.28515625" style="1173" customWidth="1"/>
    <col min="9218" max="9223" width="17.5703125" style="1173" customWidth="1"/>
    <col min="9224" max="9472" width="13" style="1173"/>
    <col min="9473" max="9473" width="36.28515625" style="1173" customWidth="1"/>
    <col min="9474" max="9479" width="17.5703125" style="1173" customWidth="1"/>
    <col min="9480" max="9728" width="13" style="1173"/>
    <col min="9729" max="9729" width="36.28515625" style="1173" customWidth="1"/>
    <col min="9730" max="9735" width="17.5703125" style="1173" customWidth="1"/>
    <col min="9736" max="9984" width="13" style="1173"/>
    <col min="9985" max="9985" width="36.28515625" style="1173" customWidth="1"/>
    <col min="9986" max="9991" width="17.5703125" style="1173" customWidth="1"/>
    <col min="9992" max="10240" width="13" style="1173"/>
    <col min="10241" max="10241" width="36.28515625" style="1173" customWidth="1"/>
    <col min="10242" max="10247" width="17.5703125" style="1173" customWidth="1"/>
    <col min="10248" max="10496" width="13" style="1173"/>
    <col min="10497" max="10497" width="36.28515625" style="1173" customWidth="1"/>
    <col min="10498" max="10503" width="17.5703125" style="1173" customWidth="1"/>
    <col min="10504" max="10752" width="13" style="1173"/>
    <col min="10753" max="10753" width="36.28515625" style="1173" customWidth="1"/>
    <col min="10754" max="10759" width="17.5703125" style="1173" customWidth="1"/>
    <col min="10760" max="11008" width="13" style="1173"/>
    <col min="11009" max="11009" width="36.28515625" style="1173" customWidth="1"/>
    <col min="11010" max="11015" width="17.5703125" style="1173" customWidth="1"/>
    <col min="11016" max="11264" width="13" style="1173"/>
    <col min="11265" max="11265" width="36.28515625" style="1173" customWidth="1"/>
    <col min="11266" max="11271" width="17.5703125" style="1173" customWidth="1"/>
    <col min="11272" max="11520" width="13" style="1173"/>
    <col min="11521" max="11521" width="36.28515625" style="1173" customWidth="1"/>
    <col min="11522" max="11527" width="17.5703125" style="1173" customWidth="1"/>
    <col min="11528" max="11776" width="13" style="1173"/>
    <col min="11777" max="11777" width="36.28515625" style="1173" customWidth="1"/>
    <col min="11778" max="11783" width="17.5703125" style="1173" customWidth="1"/>
    <col min="11784" max="12032" width="13" style="1173"/>
    <col min="12033" max="12033" width="36.28515625" style="1173" customWidth="1"/>
    <col min="12034" max="12039" width="17.5703125" style="1173" customWidth="1"/>
    <col min="12040" max="12288" width="13" style="1173"/>
    <col min="12289" max="12289" width="36.28515625" style="1173" customWidth="1"/>
    <col min="12290" max="12295" width="17.5703125" style="1173" customWidth="1"/>
    <col min="12296" max="12544" width="13" style="1173"/>
    <col min="12545" max="12545" width="36.28515625" style="1173" customWidth="1"/>
    <col min="12546" max="12551" width="17.5703125" style="1173" customWidth="1"/>
    <col min="12552" max="12800" width="13" style="1173"/>
    <col min="12801" max="12801" width="36.28515625" style="1173" customWidth="1"/>
    <col min="12802" max="12807" width="17.5703125" style="1173" customWidth="1"/>
    <col min="12808" max="13056" width="13" style="1173"/>
    <col min="13057" max="13057" width="36.28515625" style="1173" customWidth="1"/>
    <col min="13058" max="13063" width="17.5703125" style="1173" customWidth="1"/>
    <col min="13064" max="13312" width="13" style="1173"/>
    <col min="13313" max="13313" width="36.28515625" style="1173" customWidth="1"/>
    <col min="13314" max="13319" width="17.5703125" style="1173" customWidth="1"/>
    <col min="13320" max="13568" width="13" style="1173"/>
    <col min="13569" max="13569" width="36.28515625" style="1173" customWidth="1"/>
    <col min="13570" max="13575" width="17.5703125" style="1173" customWidth="1"/>
    <col min="13576" max="13824" width="13" style="1173"/>
    <col min="13825" max="13825" width="36.28515625" style="1173" customWidth="1"/>
    <col min="13826" max="13831" width="17.5703125" style="1173" customWidth="1"/>
    <col min="13832" max="14080" width="13" style="1173"/>
    <col min="14081" max="14081" width="36.28515625" style="1173" customWidth="1"/>
    <col min="14082" max="14087" width="17.5703125" style="1173" customWidth="1"/>
    <col min="14088" max="14336" width="13" style="1173"/>
    <col min="14337" max="14337" width="36.28515625" style="1173" customWidth="1"/>
    <col min="14338" max="14343" width="17.5703125" style="1173" customWidth="1"/>
    <col min="14344" max="14592" width="13" style="1173"/>
    <col min="14593" max="14593" width="36.28515625" style="1173" customWidth="1"/>
    <col min="14594" max="14599" width="17.5703125" style="1173" customWidth="1"/>
    <col min="14600" max="14848" width="13" style="1173"/>
    <col min="14849" max="14849" width="36.28515625" style="1173" customWidth="1"/>
    <col min="14850" max="14855" width="17.5703125" style="1173" customWidth="1"/>
    <col min="14856" max="15104" width="13" style="1173"/>
    <col min="15105" max="15105" width="36.28515625" style="1173" customWidth="1"/>
    <col min="15106" max="15111" width="17.5703125" style="1173" customWidth="1"/>
    <col min="15112" max="15360" width="13" style="1173"/>
    <col min="15361" max="15361" width="36.28515625" style="1173" customWidth="1"/>
    <col min="15362" max="15367" width="17.5703125" style="1173" customWidth="1"/>
    <col min="15368" max="15616" width="13" style="1173"/>
    <col min="15617" max="15617" width="36.28515625" style="1173" customWidth="1"/>
    <col min="15618" max="15623" width="17.5703125" style="1173" customWidth="1"/>
    <col min="15624" max="15872" width="13" style="1173"/>
    <col min="15873" max="15873" width="36.28515625" style="1173" customWidth="1"/>
    <col min="15874" max="15879" width="17.5703125" style="1173" customWidth="1"/>
    <col min="15880" max="16128" width="13" style="1173"/>
    <col min="16129" max="16129" width="36.28515625" style="1173" customWidth="1"/>
    <col min="16130" max="16135" width="17.5703125" style="1173" customWidth="1"/>
    <col min="16136" max="16384" width="13" style="1173"/>
  </cols>
  <sheetData>
    <row r="1" spans="1:17" s="1162" customFormat="1" ht="19.899999999999999" customHeight="1">
      <c r="A1" s="1160" t="s">
        <v>1609</v>
      </c>
      <c r="B1" s="1161"/>
      <c r="C1" s="1160" t="s">
        <v>1610</v>
      </c>
      <c r="E1" s="1163"/>
      <c r="F1" s="1163" t="s">
        <v>1611</v>
      </c>
      <c r="G1" s="1164"/>
      <c r="H1" s="1165"/>
      <c r="I1" s="1166"/>
      <c r="J1" s="1163"/>
    </row>
    <row r="2" spans="1:17" s="1168" customFormat="1" ht="17.45" customHeight="1">
      <c r="A2" s="1167" t="s">
        <v>1612</v>
      </c>
    </row>
    <row r="3" spans="1:17" s="1170" customFormat="1" ht="17.45" customHeight="1">
      <c r="A3" s="1169"/>
      <c r="E3" s="1171" t="s">
        <v>1613</v>
      </c>
    </row>
    <row r="4" spans="1:17" ht="17.45" customHeight="1">
      <c r="A4" s="1172"/>
      <c r="B4" s="1172"/>
      <c r="C4" s="1172"/>
      <c r="E4" s="1174">
        <v>60</v>
      </c>
      <c r="F4" s="1175"/>
      <c r="G4" s="1176"/>
      <c r="H4" s="1177"/>
      <c r="I4" s="1177"/>
      <c r="J4" s="1177"/>
    </row>
    <row r="5" spans="1:17" ht="17.45" customHeight="1">
      <c r="A5" s="1178" t="s">
        <v>1614</v>
      </c>
      <c r="B5" s="1179" t="s">
        <v>1615</v>
      </c>
      <c r="C5" s="1180" t="s">
        <v>1616</v>
      </c>
      <c r="D5" s="1181" t="s">
        <v>21</v>
      </c>
      <c r="E5" s="1182" t="s">
        <v>1617</v>
      </c>
      <c r="F5" s="1179" t="s">
        <v>1618</v>
      </c>
      <c r="G5" s="1179" t="s">
        <v>1619</v>
      </c>
      <c r="I5" s="1948" t="s">
        <v>1681</v>
      </c>
      <c r="J5" s="1166"/>
      <c r="K5" s="1166"/>
      <c r="L5" s="1166"/>
      <c r="M5" s="1166"/>
      <c r="N5" s="1166"/>
      <c r="O5" s="1166"/>
      <c r="P5" s="1166"/>
      <c r="Q5" s="1166"/>
    </row>
    <row r="6" spans="1:17" ht="17.45" customHeight="1">
      <c r="A6" s="1183" t="s">
        <v>1620</v>
      </c>
      <c r="B6" s="1184">
        <v>32</v>
      </c>
      <c r="C6" s="1185">
        <f>B6/B16*1000</f>
        <v>308.59732870437341</v>
      </c>
      <c r="D6" s="1186">
        <f>B6/B16</f>
        <v>0.3085973287043734</v>
      </c>
      <c r="E6" s="1187">
        <f>D6*E4</f>
        <v>18.515839722262402</v>
      </c>
      <c r="F6" s="1188">
        <v>0</v>
      </c>
      <c r="G6" s="1189">
        <f>E6*F6</f>
        <v>0</v>
      </c>
      <c r="H6" s="1190"/>
      <c r="I6" s="1166" t="s">
        <v>1682</v>
      </c>
      <c r="J6" s="1166"/>
      <c r="K6" s="1166"/>
      <c r="L6" s="1166"/>
      <c r="M6" s="1166"/>
      <c r="N6" s="1166"/>
      <c r="O6" s="1166"/>
      <c r="P6" s="1166"/>
      <c r="Q6" s="1166"/>
    </row>
    <row r="7" spans="1:17" ht="17.45" customHeight="1">
      <c r="A7" s="1183" t="s">
        <v>1621</v>
      </c>
      <c r="B7" s="1184">
        <v>16</v>
      </c>
      <c r="C7" s="1185">
        <f>B7/B16*1000</f>
        <v>154.29866435218671</v>
      </c>
      <c r="D7" s="1191">
        <f>B7/B16</f>
        <v>0.1542986643521867</v>
      </c>
      <c r="E7" s="1187">
        <f>D7*E4</f>
        <v>9.2579198611312012</v>
      </c>
      <c r="F7" s="1188">
        <v>0</v>
      </c>
      <c r="G7" s="1189">
        <f t="shared" ref="G7:G15" si="0">E7*F7</f>
        <v>0</v>
      </c>
      <c r="I7" s="1166" t="s">
        <v>1683</v>
      </c>
      <c r="J7" s="1166"/>
      <c r="K7" s="1166"/>
      <c r="L7" s="1166"/>
      <c r="M7" s="1166"/>
      <c r="N7" s="1166"/>
      <c r="O7" s="1166"/>
      <c r="P7" s="1166"/>
      <c r="Q7" s="1166"/>
    </row>
    <row r="8" spans="1:17" ht="17.45" customHeight="1">
      <c r="A8" s="1192" t="s">
        <v>1622</v>
      </c>
      <c r="B8" s="1184">
        <v>16</v>
      </c>
      <c r="C8" s="1185">
        <f>B8/B16*1000</f>
        <v>154.29866435218671</v>
      </c>
      <c r="D8" s="1191">
        <f>B8/B16</f>
        <v>0.1542986643521867</v>
      </c>
      <c r="E8" s="1187">
        <f>D8*E4</f>
        <v>9.2579198611312012</v>
      </c>
      <c r="F8" s="1188">
        <v>0</v>
      </c>
      <c r="G8" s="1189">
        <f t="shared" si="0"/>
        <v>0</v>
      </c>
      <c r="I8" s="1166" t="s">
        <v>1684</v>
      </c>
      <c r="J8" s="1166"/>
      <c r="K8" s="1166"/>
      <c r="L8" s="1166"/>
      <c r="M8" s="1166"/>
      <c r="N8" s="1166"/>
      <c r="O8" s="1166"/>
      <c r="P8" s="1166"/>
      <c r="Q8" s="1166"/>
    </row>
    <row r="9" spans="1:17" ht="17.45" customHeight="1">
      <c r="A9" s="1183" t="s">
        <v>1623</v>
      </c>
      <c r="B9" s="1184">
        <v>30</v>
      </c>
      <c r="C9" s="1185">
        <f>B9/B16*1000</f>
        <v>289.30999566035001</v>
      </c>
      <c r="D9" s="1191">
        <f>B9/B16</f>
        <v>0.28930999566035004</v>
      </c>
      <c r="E9" s="1187">
        <f>D9*E4</f>
        <v>17.358599739621003</v>
      </c>
      <c r="F9" s="1188">
        <v>0</v>
      </c>
      <c r="G9" s="1189">
        <f t="shared" si="0"/>
        <v>0</v>
      </c>
      <c r="I9" s="2642" t="s">
        <v>1685</v>
      </c>
      <c r="J9" s="2642"/>
      <c r="K9" s="2642"/>
      <c r="L9" s="2642"/>
      <c r="M9" s="2642"/>
      <c r="N9" s="2642"/>
      <c r="O9" s="2642"/>
      <c r="P9" s="2642"/>
      <c r="Q9" s="2642"/>
    </row>
    <row r="10" spans="1:17" ht="17.45" customHeight="1">
      <c r="A10" s="1183" t="s">
        <v>579</v>
      </c>
      <c r="B10" s="1184">
        <v>6</v>
      </c>
      <c r="C10" s="1185">
        <f>B10/B16*1000</f>
        <v>57.861999132070011</v>
      </c>
      <c r="D10" s="1191">
        <f>B10/B16</f>
        <v>5.7861999132070012E-2</v>
      </c>
      <c r="E10" s="1187">
        <f>D10*E4</f>
        <v>3.4717199479242007</v>
      </c>
      <c r="F10" s="1188">
        <v>0</v>
      </c>
      <c r="G10" s="1189">
        <f t="shared" si="0"/>
        <v>0</v>
      </c>
      <c r="I10" s="1172"/>
      <c r="J10" s="1172"/>
    </row>
    <row r="11" spans="1:17" ht="17.45" customHeight="1">
      <c r="A11" s="1183" t="s">
        <v>1624</v>
      </c>
      <c r="B11" s="1184">
        <v>1.65</v>
      </c>
      <c r="C11" s="1185">
        <f>B11/B16*1000</f>
        <v>15.912049761319251</v>
      </c>
      <c r="D11" s="1191">
        <f>B11/B16</f>
        <v>1.5912049761319252E-2</v>
      </c>
      <c r="E11" s="1187">
        <f>D11*E4</f>
        <v>0.95472298567915515</v>
      </c>
      <c r="F11" s="1188">
        <v>0</v>
      </c>
      <c r="G11" s="1189">
        <f t="shared" si="0"/>
        <v>0</v>
      </c>
      <c r="I11" s="1172"/>
      <c r="J11" s="1172"/>
    </row>
    <row r="12" spans="1:17" ht="17.45" customHeight="1">
      <c r="A12" s="1183" t="s">
        <v>1625</v>
      </c>
      <c r="B12" s="1184">
        <v>0.12</v>
      </c>
      <c r="C12" s="1185">
        <f>B12/B16*1000</f>
        <v>1.1572399826414002</v>
      </c>
      <c r="D12" s="1191">
        <f>B12/B16</f>
        <v>1.1572399826414001E-3</v>
      </c>
      <c r="E12" s="1187">
        <f>D12*E4</f>
        <v>6.9434398958484009E-2</v>
      </c>
      <c r="F12" s="1188">
        <v>0</v>
      </c>
      <c r="G12" s="1189">
        <f t="shared" si="0"/>
        <v>0</v>
      </c>
      <c r="I12" s="1172"/>
      <c r="J12" s="1172"/>
    </row>
    <row r="13" spans="1:17" ht="17.45" customHeight="1">
      <c r="A13" s="1183" t="s">
        <v>1626</v>
      </c>
      <c r="B13" s="1184">
        <v>0.1</v>
      </c>
      <c r="C13" s="1185">
        <f>B13/B16*1000</f>
        <v>0.96436665220116691</v>
      </c>
      <c r="D13" s="1191">
        <f>B13/B16</f>
        <v>9.6436665220116691E-4</v>
      </c>
      <c r="E13" s="1187">
        <f>D13*E4</f>
        <v>5.7861999132070012E-2</v>
      </c>
      <c r="F13" s="1188">
        <v>0</v>
      </c>
      <c r="G13" s="1189">
        <f t="shared" si="0"/>
        <v>0</v>
      </c>
      <c r="I13" s="1172"/>
      <c r="J13" s="1172"/>
    </row>
    <row r="14" spans="1:17" ht="17.45" customHeight="1">
      <c r="A14" s="1183" t="s">
        <v>1627</v>
      </c>
      <c r="B14" s="1184">
        <v>1.8</v>
      </c>
      <c r="C14" s="1185">
        <f>B14/B16*1000</f>
        <v>17.358599739621003</v>
      </c>
      <c r="D14" s="1191">
        <f>B14/B16</f>
        <v>1.7358599739621002E-2</v>
      </c>
      <c r="E14" s="1187">
        <f>D14*E4</f>
        <v>1.0415159843772601</v>
      </c>
      <c r="F14" s="1188">
        <v>0</v>
      </c>
      <c r="G14" s="1189">
        <f t="shared" si="0"/>
        <v>0</v>
      </c>
    </row>
    <row r="15" spans="1:17" ht="17.45" customHeight="1">
      <c r="A15" s="1183" t="s">
        <v>1628</v>
      </c>
      <c r="B15" s="1184">
        <v>2.5000000000000001E-2</v>
      </c>
      <c r="C15" s="1185">
        <f>B15/B16*1000</f>
        <v>0.24109166305029173</v>
      </c>
      <c r="D15" s="1191">
        <f>B15/B16</f>
        <v>2.4109166305029173E-4</v>
      </c>
      <c r="E15" s="1187">
        <f>D15*E4</f>
        <v>1.4465499783017503E-2</v>
      </c>
      <c r="F15" s="1188">
        <v>0</v>
      </c>
      <c r="G15" s="1189">
        <f t="shared" si="0"/>
        <v>0</v>
      </c>
    </row>
    <row r="16" spans="1:17" ht="17.45" customHeight="1">
      <c r="A16" s="1193" t="s">
        <v>22</v>
      </c>
      <c r="B16" s="1194">
        <f>SUM(B6:B15)</f>
        <v>103.69500000000001</v>
      </c>
      <c r="C16" s="1195">
        <f>SUM(C6:C15)</f>
        <v>999.99999999999989</v>
      </c>
      <c r="D16" s="1191">
        <f>SUM(D6:D15)</f>
        <v>0.99999999999999978</v>
      </c>
      <c r="E16" s="1196">
        <f>SUM(E6:E15)</f>
        <v>60</v>
      </c>
      <c r="F16" s="1189">
        <f>G16/E16</f>
        <v>0</v>
      </c>
      <c r="G16" s="1189">
        <f>SUM(G6:G15)</f>
        <v>0</v>
      </c>
      <c r="I16" s="1172"/>
      <c r="J16" s="1172"/>
    </row>
    <row r="17" spans="1:10" ht="17.45" customHeight="1">
      <c r="A17" s="1197"/>
      <c r="B17" s="1198"/>
      <c r="C17" s="1198"/>
      <c r="D17" s="1199"/>
      <c r="E17" s="1200"/>
      <c r="F17" s="1200"/>
      <c r="G17" s="1200"/>
      <c r="H17" s="1201"/>
      <c r="I17" s="1172"/>
      <c r="J17" s="1172"/>
    </row>
    <row r="18" spans="1:10" ht="17.45" customHeight="1">
      <c r="A18" s="1202" t="s">
        <v>1629</v>
      </c>
      <c r="B18" s="1172"/>
      <c r="C18" s="1203"/>
      <c r="G18" s="1203"/>
      <c r="H18" s="1201"/>
      <c r="I18" s="1172"/>
      <c r="J18" s="1172"/>
    </row>
    <row r="19" spans="1:10" ht="17.45" customHeight="1">
      <c r="A19" s="1204" t="s">
        <v>1630</v>
      </c>
      <c r="B19" s="1205"/>
      <c r="C19" s="1205"/>
      <c r="G19" s="1203"/>
      <c r="H19" s="1201"/>
      <c r="I19" s="1172"/>
      <c r="J19" s="1172"/>
    </row>
    <row r="20" spans="1:10" ht="17.45" customHeight="1">
      <c r="A20" s="1204" t="s">
        <v>1631</v>
      </c>
      <c r="B20" s="1205"/>
      <c r="C20" s="1205"/>
      <c r="G20" s="1203"/>
      <c r="H20" s="1201"/>
      <c r="I20" s="1172"/>
      <c r="J20" s="1172"/>
    </row>
    <row r="21" spans="1:10" ht="17.45" customHeight="1">
      <c r="A21" s="1206" t="s">
        <v>1632</v>
      </c>
      <c r="B21" s="1207"/>
      <c r="C21" s="1207"/>
      <c r="D21" s="1208"/>
      <c r="E21" s="1209"/>
      <c r="F21" s="1209"/>
      <c r="G21" s="1210"/>
      <c r="H21" s="1210"/>
      <c r="I21" s="1172"/>
      <c r="J21" s="1172"/>
    </row>
    <row r="22" spans="1:10" ht="17.45" customHeight="1">
      <c r="A22" s="1211" t="s">
        <v>1633</v>
      </c>
      <c r="B22" s="1212"/>
      <c r="C22" s="1211"/>
      <c r="D22" s="1211"/>
      <c r="E22" s="1211"/>
      <c r="F22" s="1211"/>
      <c r="H22" s="1172"/>
      <c r="I22" s="1172"/>
      <c r="J22" s="1172"/>
    </row>
    <row r="23" spans="1:10" ht="17.45" customHeight="1">
      <c r="A23" s="1211" t="s">
        <v>1634</v>
      </c>
      <c r="B23" s="1213"/>
      <c r="C23" s="1211"/>
      <c r="D23" s="1211"/>
      <c r="E23" s="1211"/>
      <c r="F23" s="1211"/>
      <c r="H23" s="1172"/>
      <c r="I23" s="1172"/>
      <c r="J23" s="1172"/>
    </row>
    <row r="24" spans="1:10" ht="17.45" customHeight="1">
      <c r="A24" s="1214" t="s">
        <v>1635</v>
      </c>
      <c r="B24" s="1172"/>
      <c r="C24" s="1172"/>
      <c r="D24" s="1172"/>
      <c r="E24" s="1177"/>
      <c r="F24" s="1177"/>
      <c r="G24" s="1215" t="s">
        <v>1636</v>
      </c>
      <c r="H24" s="1172"/>
      <c r="I24" s="1172"/>
      <c r="J24" s="1172"/>
    </row>
    <row r="25" spans="1:10" ht="17.45" customHeight="1">
      <c r="A25" s="1214" t="s">
        <v>1637</v>
      </c>
      <c r="B25" s="1216" t="s">
        <v>1638</v>
      </c>
      <c r="C25" s="1216" t="s">
        <v>522</v>
      </c>
      <c r="D25" s="1217"/>
      <c r="E25" s="1172"/>
      <c r="F25" s="1172"/>
      <c r="H25" s="1172"/>
      <c r="I25" s="1172"/>
      <c r="J25" s="1172"/>
    </row>
    <row r="26" spans="1:10" ht="17.45" customHeight="1">
      <c r="A26" s="1218"/>
      <c r="B26" s="1216" t="s">
        <v>1639</v>
      </c>
      <c r="C26" s="1216" t="s">
        <v>1640</v>
      </c>
      <c r="D26" s="1217"/>
      <c r="E26" s="1172"/>
      <c r="F26" s="1172"/>
      <c r="H26" s="1172"/>
      <c r="I26" s="1172"/>
      <c r="J26" s="1172"/>
    </row>
    <row r="27" spans="1:10" ht="17.45" customHeight="1">
      <c r="A27" s="1214" t="s">
        <v>1641</v>
      </c>
      <c r="D27" s="1172"/>
      <c r="E27" s="1177"/>
      <c r="F27" s="1177"/>
      <c r="H27" s="1172"/>
      <c r="I27" s="1172"/>
      <c r="J27" s="1172"/>
    </row>
    <row r="29" spans="1:10" ht="17.45" customHeight="1">
      <c r="A29" s="1215" t="s">
        <v>1642</v>
      </c>
    </row>
    <row r="30" spans="1:10" ht="17.45" customHeight="1">
      <c r="A30" s="1173" t="s">
        <v>1643</v>
      </c>
      <c r="G30" s="1215" t="s">
        <v>1644</v>
      </c>
    </row>
    <row r="31" spans="1:10" ht="17.45" customHeight="1">
      <c r="A31" s="1173" t="s">
        <v>1645</v>
      </c>
    </row>
    <row r="32" spans="1:10" ht="17.45" customHeight="1">
      <c r="A32" s="1173" t="s">
        <v>1646</v>
      </c>
    </row>
    <row r="33" spans="1:1" ht="17.45" customHeight="1">
      <c r="A33" s="1173" t="s">
        <v>1647</v>
      </c>
    </row>
    <row r="35" spans="1:1" ht="17.45" customHeight="1">
      <c r="A35" s="1173" t="s">
        <v>1648</v>
      </c>
    </row>
    <row r="36" spans="1:1" ht="17.45" customHeight="1">
      <c r="A36" s="1173" t="s">
        <v>1649</v>
      </c>
    </row>
    <row r="37" spans="1:1" ht="17.45" customHeight="1">
      <c r="A37" s="1173" t="s">
        <v>1650</v>
      </c>
    </row>
    <row r="38" spans="1:1" ht="17.45" customHeight="1">
      <c r="A38" s="1173" t="s">
        <v>1651</v>
      </c>
    </row>
  </sheetData>
  <mergeCells count="1">
    <mergeCell ref="I9:Q9"/>
  </mergeCells>
  <hyperlinks>
    <hyperlink ref="I9" r:id="rId1" display="http://michelmariette.over-blog.fr/"/>
  </hyperlinks>
  <printOptions horizontalCentered="1"/>
  <pageMargins left="0.23622047244094491" right="7.874015748031496E-2" top="7.874015748031496E-2" bottom="0.11811023622047245" header="0.11811023622047245" footer="7.874015748031496E-2"/>
  <pageSetup paperSize="9" orientation="portrait" blackAndWhite="1" horizontalDpi="240" verticalDpi="144"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Q39"/>
  <sheetViews>
    <sheetView showGridLines="0" workbookViewId="0">
      <selection activeCell="F1" sqref="F1"/>
    </sheetView>
  </sheetViews>
  <sheetFormatPr baseColWidth="10" defaultColWidth="13" defaultRowHeight="17.45" customHeight="1"/>
  <cols>
    <col min="1" max="1" width="38.140625" style="1173" customWidth="1"/>
    <col min="2" max="4" width="18.28515625" style="1173" customWidth="1"/>
    <col min="5" max="5" width="18.28515625" style="1266" customWidth="1"/>
    <col min="6" max="7" width="16.5703125" style="1173" customWidth="1"/>
    <col min="8" max="256" width="13" style="1173"/>
    <col min="257" max="257" width="38.140625" style="1173" customWidth="1"/>
    <col min="258" max="261" width="18.28515625" style="1173" customWidth="1"/>
    <col min="262" max="263" width="16.5703125" style="1173" customWidth="1"/>
    <col min="264" max="512" width="13" style="1173"/>
    <col min="513" max="513" width="38.140625" style="1173" customWidth="1"/>
    <col min="514" max="517" width="18.28515625" style="1173" customWidth="1"/>
    <col min="518" max="519" width="16.5703125" style="1173" customWidth="1"/>
    <col min="520" max="768" width="13" style="1173"/>
    <col min="769" max="769" width="38.140625" style="1173" customWidth="1"/>
    <col min="770" max="773" width="18.28515625" style="1173" customWidth="1"/>
    <col min="774" max="775" width="16.5703125" style="1173" customWidth="1"/>
    <col min="776" max="1024" width="13" style="1173"/>
    <col min="1025" max="1025" width="38.140625" style="1173" customWidth="1"/>
    <col min="1026" max="1029" width="18.28515625" style="1173" customWidth="1"/>
    <col min="1030" max="1031" width="16.5703125" style="1173" customWidth="1"/>
    <col min="1032" max="1280" width="13" style="1173"/>
    <col min="1281" max="1281" width="38.140625" style="1173" customWidth="1"/>
    <col min="1282" max="1285" width="18.28515625" style="1173" customWidth="1"/>
    <col min="1286" max="1287" width="16.5703125" style="1173" customWidth="1"/>
    <col min="1288" max="1536" width="13" style="1173"/>
    <col min="1537" max="1537" width="38.140625" style="1173" customWidth="1"/>
    <col min="1538" max="1541" width="18.28515625" style="1173" customWidth="1"/>
    <col min="1542" max="1543" width="16.5703125" style="1173" customWidth="1"/>
    <col min="1544" max="1792" width="13" style="1173"/>
    <col min="1793" max="1793" width="38.140625" style="1173" customWidth="1"/>
    <col min="1794" max="1797" width="18.28515625" style="1173" customWidth="1"/>
    <col min="1798" max="1799" width="16.5703125" style="1173" customWidth="1"/>
    <col min="1800" max="2048" width="13" style="1173"/>
    <col min="2049" max="2049" width="38.140625" style="1173" customWidth="1"/>
    <col min="2050" max="2053" width="18.28515625" style="1173" customWidth="1"/>
    <col min="2054" max="2055" width="16.5703125" style="1173" customWidth="1"/>
    <col min="2056" max="2304" width="13" style="1173"/>
    <col min="2305" max="2305" width="38.140625" style="1173" customWidth="1"/>
    <col min="2306" max="2309" width="18.28515625" style="1173" customWidth="1"/>
    <col min="2310" max="2311" width="16.5703125" style="1173" customWidth="1"/>
    <col min="2312" max="2560" width="13" style="1173"/>
    <col min="2561" max="2561" width="38.140625" style="1173" customWidth="1"/>
    <col min="2562" max="2565" width="18.28515625" style="1173" customWidth="1"/>
    <col min="2566" max="2567" width="16.5703125" style="1173" customWidth="1"/>
    <col min="2568" max="2816" width="13" style="1173"/>
    <col min="2817" max="2817" width="38.140625" style="1173" customWidth="1"/>
    <col min="2818" max="2821" width="18.28515625" style="1173" customWidth="1"/>
    <col min="2822" max="2823" width="16.5703125" style="1173" customWidth="1"/>
    <col min="2824" max="3072" width="13" style="1173"/>
    <col min="3073" max="3073" width="38.140625" style="1173" customWidth="1"/>
    <col min="3074" max="3077" width="18.28515625" style="1173" customWidth="1"/>
    <col min="3078" max="3079" width="16.5703125" style="1173" customWidth="1"/>
    <col min="3080" max="3328" width="13" style="1173"/>
    <col min="3329" max="3329" width="38.140625" style="1173" customWidth="1"/>
    <col min="3330" max="3333" width="18.28515625" style="1173" customWidth="1"/>
    <col min="3334" max="3335" width="16.5703125" style="1173" customWidth="1"/>
    <col min="3336" max="3584" width="13" style="1173"/>
    <col min="3585" max="3585" width="38.140625" style="1173" customWidth="1"/>
    <col min="3586" max="3589" width="18.28515625" style="1173" customWidth="1"/>
    <col min="3590" max="3591" width="16.5703125" style="1173" customWidth="1"/>
    <col min="3592" max="3840" width="13" style="1173"/>
    <col min="3841" max="3841" width="38.140625" style="1173" customWidth="1"/>
    <col min="3842" max="3845" width="18.28515625" style="1173" customWidth="1"/>
    <col min="3846" max="3847" width="16.5703125" style="1173" customWidth="1"/>
    <col min="3848" max="4096" width="13" style="1173"/>
    <col min="4097" max="4097" width="38.140625" style="1173" customWidth="1"/>
    <col min="4098" max="4101" width="18.28515625" style="1173" customWidth="1"/>
    <col min="4102" max="4103" width="16.5703125" style="1173" customWidth="1"/>
    <col min="4104" max="4352" width="13" style="1173"/>
    <col min="4353" max="4353" width="38.140625" style="1173" customWidth="1"/>
    <col min="4354" max="4357" width="18.28515625" style="1173" customWidth="1"/>
    <col min="4358" max="4359" width="16.5703125" style="1173" customWidth="1"/>
    <col min="4360" max="4608" width="13" style="1173"/>
    <col min="4609" max="4609" width="38.140625" style="1173" customWidth="1"/>
    <col min="4610" max="4613" width="18.28515625" style="1173" customWidth="1"/>
    <col min="4614" max="4615" width="16.5703125" style="1173" customWidth="1"/>
    <col min="4616" max="4864" width="13" style="1173"/>
    <col min="4865" max="4865" width="38.140625" style="1173" customWidth="1"/>
    <col min="4866" max="4869" width="18.28515625" style="1173" customWidth="1"/>
    <col min="4870" max="4871" width="16.5703125" style="1173" customWidth="1"/>
    <col min="4872" max="5120" width="13" style="1173"/>
    <col min="5121" max="5121" width="38.140625" style="1173" customWidth="1"/>
    <col min="5122" max="5125" width="18.28515625" style="1173" customWidth="1"/>
    <col min="5126" max="5127" width="16.5703125" style="1173" customWidth="1"/>
    <col min="5128" max="5376" width="13" style="1173"/>
    <col min="5377" max="5377" width="38.140625" style="1173" customWidth="1"/>
    <col min="5378" max="5381" width="18.28515625" style="1173" customWidth="1"/>
    <col min="5382" max="5383" width="16.5703125" style="1173" customWidth="1"/>
    <col min="5384" max="5632" width="13" style="1173"/>
    <col min="5633" max="5633" width="38.140625" style="1173" customWidth="1"/>
    <col min="5634" max="5637" width="18.28515625" style="1173" customWidth="1"/>
    <col min="5638" max="5639" width="16.5703125" style="1173" customWidth="1"/>
    <col min="5640" max="5888" width="13" style="1173"/>
    <col min="5889" max="5889" width="38.140625" style="1173" customWidth="1"/>
    <col min="5890" max="5893" width="18.28515625" style="1173" customWidth="1"/>
    <col min="5894" max="5895" width="16.5703125" style="1173" customWidth="1"/>
    <col min="5896" max="6144" width="13" style="1173"/>
    <col min="6145" max="6145" width="38.140625" style="1173" customWidth="1"/>
    <col min="6146" max="6149" width="18.28515625" style="1173" customWidth="1"/>
    <col min="6150" max="6151" width="16.5703125" style="1173" customWidth="1"/>
    <col min="6152" max="6400" width="13" style="1173"/>
    <col min="6401" max="6401" width="38.140625" style="1173" customWidth="1"/>
    <col min="6402" max="6405" width="18.28515625" style="1173" customWidth="1"/>
    <col min="6406" max="6407" width="16.5703125" style="1173" customWidth="1"/>
    <col min="6408" max="6656" width="13" style="1173"/>
    <col min="6657" max="6657" width="38.140625" style="1173" customWidth="1"/>
    <col min="6658" max="6661" width="18.28515625" style="1173" customWidth="1"/>
    <col min="6662" max="6663" width="16.5703125" style="1173" customWidth="1"/>
    <col min="6664" max="6912" width="13" style="1173"/>
    <col min="6913" max="6913" width="38.140625" style="1173" customWidth="1"/>
    <col min="6914" max="6917" width="18.28515625" style="1173" customWidth="1"/>
    <col min="6918" max="6919" width="16.5703125" style="1173" customWidth="1"/>
    <col min="6920" max="7168" width="13" style="1173"/>
    <col min="7169" max="7169" width="38.140625" style="1173" customWidth="1"/>
    <col min="7170" max="7173" width="18.28515625" style="1173" customWidth="1"/>
    <col min="7174" max="7175" width="16.5703125" style="1173" customWidth="1"/>
    <col min="7176" max="7424" width="13" style="1173"/>
    <col min="7425" max="7425" width="38.140625" style="1173" customWidth="1"/>
    <col min="7426" max="7429" width="18.28515625" style="1173" customWidth="1"/>
    <col min="7430" max="7431" width="16.5703125" style="1173" customWidth="1"/>
    <col min="7432" max="7680" width="13" style="1173"/>
    <col min="7681" max="7681" width="38.140625" style="1173" customWidth="1"/>
    <col min="7682" max="7685" width="18.28515625" style="1173" customWidth="1"/>
    <col min="7686" max="7687" width="16.5703125" style="1173" customWidth="1"/>
    <col min="7688" max="7936" width="13" style="1173"/>
    <col min="7937" max="7937" width="38.140625" style="1173" customWidth="1"/>
    <col min="7938" max="7941" width="18.28515625" style="1173" customWidth="1"/>
    <col min="7942" max="7943" width="16.5703125" style="1173" customWidth="1"/>
    <col min="7944" max="8192" width="13" style="1173"/>
    <col min="8193" max="8193" width="38.140625" style="1173" customWidth="1"/>
    <col min="8194" max="8197" width="18.28515625" style="1173" customWidth="1"/>
    <col min="8198" max="8199" width="16.5703125" style="1173" customWidth="1"/>
    <col min="8200" max="8448" width="13" style="1173"/>
    <col min="8449" max="8449" width="38.140625" style="1173" customWidth="1"/>
    <col min="8450" max="8453" width="18.28515625" style="1173" customWidth="1"/>
    <col min="8454" max="8455" width="16.5703125" style="1173" customWidth="1"/>
    <col min="8456" max="8704" width="13" style="1173"/>
    <col min="8705" max="8705" width="38.140625" style="1173" customWidth="1"/>
    <col min="8706" max="8709" width="18.28515625" style="1173" customWidth="1"/>
    <col min="8710" max="8711" width="16.5703125" style="1173" customWidth="1"/>
    <col min="8712" max="8960" width="13" style="1173"/>
    <col min="8961" max="8961" width="38.140625" style="1173" customWidth="1"/>
    <col min="8962" max="8965" width="18.28515625" style="1173" customWidth="1"/>
    <col min="8966" max="8967" width="16.5703125" style="1173" customWidth="1"/>
    <col min="8968" max="9216" width="13" style="1173"/>
    <col min="9217" max="9217" width="38.140625" style="1173" customWidth="1"/>
    <col min="9218" max="9221" width="18.28515625" style="1173" customWidth="1"/>
    <col min="9222" max="9223" width="16.5703125" style="1173" customWidth="1"/>
    <col min="9224" max="9472" width="13" style="1173"/>
    <col min="9473" max="9473" width="38.140625" style="1173" customWidth="1"/>
    <col min="9474" max="9477" width="18.28515625" style="1173" customWidth="1"/>
    <col min="9478" max="9479" width="16.5703125" style="1173" customWidth="1"/>
    <col min="9480" max="9728" width="13" style="1173"/>
    <col min="9729" max="9729" width="38.140625" style="1173" customWidth="1"/>
    <col min="9730" max="9733" width="18.28515625" style="1173" customWidth="1"/>
    <col min="9734" max="9735" width="16.5703125" style="1173" customWidth="1"/>
    <col min="9736" max="9984" width="13" style="1173"/>
    <col min="9985" max="9985" width="38.140625" style="1173" customWidth="1"/>
    <col min="9986" max="9989" width="18.28515625" style="1173" customWidth="1"/>
    <col min="9990" max="9991" width="16.5703125" style="1173" customWidth="1"/>
    <col min="9992" max="10240" width="13" style="1173"/>
    <col min="10241" max="10241" width="38.140625" style="1173" customWidth="1"/>
    <col min="10242" max="10245" width="18.28515625" style="1173" customWidth="1"/>
    <col min="10246" max="10247" width="16.5703125" style="1173" customWidth="1"/>
    <col min="10248" max="10496" width="13" style="1173"/>
    <col min="10497" max="10497" width="38.140625" style="1173" customWidth="1"/>
    <col min="10498" max="10501" width="18.28515625" style="1173" customWidth="1"/>
    <col min="10502" max="10503" width="16.5703125" style="1173" customWidth="1"/>
    <col min="10504" max="10752" width="13" style="1173"/>
    <col min="10753" max="10753" width="38.140625" style="1173" customWidth="1"/>
    <col min="10754" max="10757" width="18.28515625" style="1173" customWidth="1"/>
    <col min="10758" max="10759" width="16.5703125" style="1173" customWidth="1"/>
    <col min="10760" max="11008" width="13" style="1173"/>
    <col min="11009" max="11009" width="38.140625" style="1173" customWidth="1"/>
    <col min="11010" max="11013" width="18.28515625" style="1173" customWidth="1"/>
    <col min="11014" max="11015" width="16.5703125" style="1173" customWidth="1"/>
    <col min="11016" max="11264" width="13" style="1173"/>
    <col min="11265" max="11265" width="38.140625" style="1173" customWidth="1"/>
    <col min="11266" max="11269" width="18.28515625" style="1173" customWidth="1"/>
    <col min="11270" max="11271" width="16.5703125" style="1173" customWidth="1"/>
    <col min="11272" max="11520" width="13" style="1173"/>
    <col min="11521" max="11521" width="38.140625" style="1173" customWidth="1"/>
    <col min="11522" max="11525" width="18.28515625" style="1173" customWidth="1"/>
    <col min="11526" max="11527" width="16.5703125" style="1173" customWidth="1"/>
    <col min="11528" max="11776" width="13" style="1173"/>
    <col min="11777" max="11777" width="38.140625" style="1173" customWidth="1"/>
    <col min="11778" max="11781" width="18.28515625" style="1173" customWidth="1"/>
    <col min="11782" max="11783" width="16.5703125" style="1173" customWidth="1"/>
    <col min="11784" max="12032" width="13" style="1173"/>
    <col min="12033" max="12033" width="38.140625" style="1173" customWidth="1"/>
    <col min="12034" max="12037" width="18.28515625" style="1173" customWidth="1"/>
    <col min="12038" max="12039" width="16.5703125" style="1173" customWidth="1"/>
    <col min="12040" max="12288" width="13" style="1173"/>
    <col min="12289" max="12289" width="38.140625" style="1173" customWidth="1"/>
    <col min="12290" max="12293" width="18.28515625" style="1173" customWidth="1"/>
    <col min="12294" max="12295" width="16.5703125" style="1173" customWidth="1"/>
    <col min="12296" max="12544" width="13" style="1173"/>
    <col min="12545" max="12545" width="38.140625" style="1173" customWidth="1"/>
    <col min="12546" max="12549" width="18.28515625" style="1173" customWidth="1"/>
    <col min="12550" max="12551" width="16.5703125" style="1173" customWidth="1"/>
    <col min="12552" max="12800" width="13" style="1173"/>
    <col min="12801" max="12801" width="38.140625" style="1173" customWidth="1"/>
    <col min="12802" max="12805" width="18.28515625" style="1173" customWidth="1"/>
    <col min="12806" max="12807" width="16.5703125" style="1173" customWidth="1"/>
    <col min="12808" max="13056" width="13" style="1173"/>
    <col min="13057" max="13057" width="38.140625" style="1173" customWidth="1"/>
    <col min="13058" max="13061" width="18.28515625" style="1173" customWidth="1"/>
    <col min="13062" max="13063" width="16.5703125" style="1173" customWidth="1"/>
    <col min="13064" max="13312" width="13" style="1173"/>
    <col min="13313" max="13313" width="38.140625" style="1173" customWidth="1"/>
    <col min="13314" max="13317" width="18.28515625" style="1173" customWidth="1"/>
    <col min="13318" max="13319" width="16.5703125" style="1173" customWidth="1"/>
    <col min="13320" max="13568" width="13" style="1173"/>
    <col min="13569" max="13569" width="38.140625" style="1173" customWidth="1"/>
    <col min="13570" max="13573" width="18.28515625" style="1173" customWidth="1"/>
    <col min="13574" max="13575" width="16.5703125" style="1173" customWidth="1"/>
    <col min="13576" max="13824" width="13" style="1173"/>
    <col min="13825" max="13825" width="38.140625" style="1173" customWidth="1"/>
    <col min="13826" max="13829" width="18.28515625" style="1173" customWidth="1"/>
    <col min="13830" max="13831" width="16.5703125" style="1173" customWidth="1"/>
    <col min="13832" max="14080" width="13" style="1173"/>
    <col min="14081" max="14081" width="38.140625" style="1173" customWidth="1"/>
    <col min="14082" max="14085" width="18.28515625" style="1173" customWidth="1"/>
    <col min="14086" max="14087" width="16.5703125" style="1173" customWidth="1"/>
    <col min="14088" max="14336" width="13" style="1173"/>
    <col min="14337" max="14337" width="38.140625" style="1173" customWidth="1"/>
    <col min="14338" max="14341" width="18.28515625" style="1173" customWidth="1"/>
    <col min="14342" max="14343" width="16.5703125" style="1173" customWidth="1"/>
    <col min="14344" max="14592" width="13" style="1173"/>
    <col min="14593" max="14593" width="38.140625" style="1173" customWidth="1"/>
    <col min="14594" max="14597" width="18.28515625" style="1173" customWidth="1"/>
    <col min="14598" max="14599" width="16.5703125" style="1173" customWidth="1"/>
    <col min="14600" max="14848" width="13" style="1173"/>
    <col min="14849" max="14849" width="38.140625" style="1173" customWidth="1"/>
    <col min="14850" max="14853" width="18.28515625" style="1173" customWidth="1"/>
    <col min="14854" max="14855" width="16.5703125" style="1173" customWidth="1"/>
    <col min="14856" max="15104" width="13" style="1173"/>
    <col min="15105" max="15105" width="38.140625" style="1173" customWidth="1"/>
    <col min="15106" max="15109" width="18.28515625" style="1173" customWidth="1"/>
    <col min="15110" max="15111" width="16.5703125" style="1173" customWidth="1"/>
    <col min="15112" max="15360" width="13" style="1173"/>
    <col min="15361" max="15361" width="38.140625" style="1173" customWidth="1"/>
    <col min="15362" max="15365" width="18.28515625" style="1173" customWidth="1"/>
    <col min="15366" max="15367" width="16.5703125" style="1173" customWidth="1"/>
    <col min="15368" max="15616" width="13" style="1173"/>
    <col min="15617" max="15617" width="38.140625" style="1173" customWidth="1"/>
    <col min="15618" max="15621" width="18.28515625" style="1173" customWidth="1"/>
    <col min="15622" max="15623" width="16.5703125" style="1173" customWidth="1"/>
    <col min="15624" max="15872" width="13" style="1173"/>
    <col min="15873" max="15873" width="38.140625" style="1173" customWidth="1"/>
    <col min="15874" max="15877" width="18.28515625" style="1173" customWidth="1"/>
    <col min="15878" max="15879" width="16.5703125" style="1173" customWidth="1"/>
    <col min="15880" max="16128" width="13" style="1173"/>
    <col min="16129" max="16129" width="38.140625" style="1173" customWidth="1"/>
    <col min="16130" max="16133" width="18.28515625" style="1173" customWidth="1"/>
    <col min="16134" max="16135" width="16.5703125" style="1173" customWidth="1"/>
    <col min="16136" max="16384" width="13" style="1173"/>
  </cols>
  <sheetData>
    <row r="1" spans="1:17" s="1162" customFormat="1" ht="19.149999999999999" customHeight="1">
      <c r="A1" s="1160" t="s">
        <v>1609</v>
      </c>
      <c r="B1" s="1161"/>
      <c r="C1" s="1160" t="s">
        <v>1610</v>
      </c>
      <c r="E1" s="1260"/>
      <c r="F1" s="1163" t="s">
        <v>1611</v>
      </c>
      <c r="G1" s="1164"/>
      <c r="H1" s="1165"/>
      <c r="I1" s="1166"/>
      <c r="J1" s="1163"/>
    </row>
    <row r="2" spans="1:17" s="1162" customFormat="1" ht="17.45" customHeight="1">
      <c r="A2" s="1219" t="s">
        <v>1673</v>
      </c>
      <c r="E2" s="1261"/>
    </row>
    <row r="3" spans="1:17" ht="17.45" customHeight="1">
      <c r="A3" s="1206"/>
      <c r="E3" s="1171" t="s">
        <v>1613</v>
      </c>
    </row>
    <row r="4" spans="1:17" ht="17.45" customHeight="1">
      <c r="A4" s="1172"/>
      <c r="B4" s="1172"/>
      <c r="C4" s="1172"/>
      <c r="E4" s="1174">
        <v>10</v>
      </c>
      <c r="F4" s="1175"/>
      <c r="G4" s="1176"/>
      <c r="H4" s="1177"/>
      <c r="I4" s="1177"/>
      <c r="J4" s="1177"/>
    </row>
    <row r="5" spans="1:17" ht="17.45" customHeight="1">
      <c r="A5" s="1193" t="s">
        <v>1614</v>
      </c>
      <c r="B5" s="1179" t="s">
        <v>1615</v>
      </c>
      <c r="C5" s="1180" t="s">
        <v>1616</v>
      </c>
      <c r="D5" s="1181" t="s">
        <v>21</v>
      </c>
      <c r="E5" s="1262" t="s">
        <v>1617</v>
      </c>
      <c r="F5" s="1179" t="s">
        <v>1618</v>
      </c>
      <c r="G5" s="1179" t="s">
        <v>1619</v>
      </c>
      <c r="I5" s="1948" t="s">
        <v>1681</v>
      </c>
      <c r="J5" s="1166"/>
      <c r="K5" s="1166"/>
      <c r="L5" s="1166"/>
      <c r="M5" s="1166"/>
      <c r="N5" s="1166"/>
      <c r="O5" s="1166"/>
      <c r="P5" s="1166"/>
      <c r="Q5" s="1166"/>
    </row>
    <row r="6" spans="1:17" ht="17.45" customHeight="1">
      <c r="A6" s="1224" t="s">
        <v>1620</v>
      </c>
      <c r="B6" s="1184">
        <v>34</v>
      </c>
      <c r="C6" s="1185">
        <f>B6/B17*1000</f>
        <v>324.19547079856977</v>
      </c>
      <c r="D6" s="1186">
        <f>B6/B17</f>
        <v>0.32419547079856975</v>
      </c>
      <c r="E6" s="1263">
        <f>D6*E4</f>
        <v>3.2419547079856974</v>
      </c>
      <c r="F6" s="1188">
        <v>0</v>
      </c>
      <c r="G6" s="1189">
        <f t="shared" ref="G6:G16" si="0">E6*F6</f>
        <v>0</v>
      </c>
      <c r="I6" s="1166" t="s">
        <v>1682</v>
      </c>
      <c r="J6" s="1166"/>
      <c r="K6" s="1166"/>
      <c r="L6" s="1166"/>
      <c r="M6" s="1166"/>
      <c r="N6" s="1166"/>
      <c r="O6" s="1166"/>
      <c r="P6" s="1166"/>
      <c r="Q6" s="1166"/>
    </row>
    <row r="7" spans="1:17" ht="17.45" customHeight="1">
      <c r="A7" s="1224" t="s">
        <v>1621</v>
      </c>
      <c r="B7" s="1184">
        <v>16</v>
      </c>
      <c r="C7" s="1185">
        <f>B7/B17*1000</f>
        <v>152.56257449344457</v>
      </c>
      <c r="D7" s="1191">
        <f>B7/B17</f>
        <v>0.15256257449344457</v>
      </c>
      <c r="E7" s="1263">
        <f>D7*E4</f>
        <v>1.5256257449344457</v>
      </c>
      <c r="F7" s="1188">
        <v>0</v>
      </c>
      <c r="G7" s="1189">
        <f t="shared" si="0"/>
        <v>0</v>
      </c>
      <c r="I7" s="1166" t="s">
        <v>1683</v>
      </c>
      <c r="J7" s="1166"/>
      <c r="K7" s="1166"/>
      <c r="L7" s="1166"/>
      <c r="M7" s="1166"/>
      <c r="N7" s="1166"/>
      <c r="O7" s="1166"/>
      <c r="P7" s="1166"/>
      <c r="Q7" s="1166"/>
    </row>
    <row r="8" spans="1:17" ht="17.45" customHeight="1">
      <c r="A8" s="1173" t="s">
        <v>1622</v>
      </c>
      <c r="B8" s="1184">
        <v>16</v>
      </c>
      <c r="C8" s="1185">
        <f>B8/B17*1000</f>
        <v>152.56257449344457</v>
      </c>
      <c r="D8" s="1191">
        <f>B8/B17</f>
        <v>0.15256257449344457</v>
      </c>
      <c r="E8" s="1263">
        <f>D8*E4</f>
        <v>1.5256257449344457</v>
      </c>
      <c r="F8" s="1188">
        <v>0</v>
      </c>
      <c r="G8" s="1189">
        <f t="shared" si="0"/>
        <v>0</v>
      </c>
      <c r="I8" s="1166" t="s">
        <v>1684</v>
      </c>
      <c r="J8" s="1166"/>
      <c r="K8" s="1166"/>
      <c r="L8" s="1166"/>
      <c r="M8" s="1166"/>
      <c r="N8" s="1166"/>
      <c r="O8" s="1166"/>
      <c r="P8" s="1166"/>
      <c r="Q8" s="1166"/>
    </row>
    <row r="9" spans="1:17" ht="17.45" customHeight="1">
      <c r="A9" s="1224" t="s">
        <v>1623</v>
      </c>
      <c r="B9" s="1184">
        <v>30</v>
      </c>
      <c r="C9" s="1185">
        <f>B9/B17*1000</f>
        <v>286.05482717520857</v>
      </c>
      <c r="D9" s="1191">
        <f>B9/B17</f>
        <v>0.28605482717520858</v>
      </c>
      <c r="E9" s="1263">
        <f>D9*E4</f>
        <v>2.8605482717520858</v>
      </c>
      <c r="F9" s="1188">
        <v>0</v>
      </c>
      <c r="G9" s="1189">
        <f t="shared" si="0"/>
        <v>0</v>
      </c>
      <c r="I9" s="2642" t="s">
        <v>1685</v>
      </c>
      <c r="J9" s="2642"/>
      <c r="K9" s="2642"/>
      <c r="L9" s="2642"/>
      <c r="M9" s="2642"/>
      <c r="N9" s="2642"/>
      <c r="O9" s="2642"/>
      <c r="P9" s="2642"/>
      <c r="Q9" s="2642"/>
    </row>
    <row r="10" spans="1:17" ht="17.45" customHeight="1">
      <c r="A10" s="1224" t="s">
        <v>579</v>
      </c>
      <c r="B10" s="1184">
        <v>6</v>
      </c>
      <c r="C10" s="1185">
        <f>B10/B17*1000</f>
        <v>57.210965435041714</v>
      </c>
      <c r="D10" s="1191">
        <f>B10/B17</f>
        <v>5.7210965435041714E-2</v>
      </c>
      <c r="E10" s="1263">
        <f>D10*E4</f>
        <v>0.57210965435041716</v>
      </c>
      <c r="F10" s="1188">
        <v>0</v>
      </c>
      <c r="G10" s="1189">
        <f t="shared" si="0"/>
        <v>0</v>
      </c>
      <c r="I10" s="1172"/>
      <c r="J10" s="1172"/>
    </row>
    <row r="11" spans="1:17" ht="17.45" customHeight="1">
      <c r="A11" s="1224" t="s">
        <v>1624</v>
      </c>
      <c r="B11" s="1184">
        <v>1.65</v>
      </c>
      <c r="C11" s="1185">
        <f>B11/B17*1000</f>
        <v>15.73301549463647</v>
      </c>
      <c r="D11" s="1191">
        <f>B11/B17</f>
        <v>1.573301549463647E-2</v>
      </c>
      <c r="E11" s="1263">
        <f>D11*E4</f>
        <v>0.15733015494636471</v>
      </c>
      <c r="F11" s="1188">
        <v>0</v>
      </c>
      <c r="G11" s="1189">
        <f t="shared" si="0"/>
        <v>0</v>
      </c>
      <c r="I11" s="1172"/>
      <c r="J11" s="1172"/>
    </row>
    <row r="12" spans="1:17" ht="17.45" customHeight="1">
      <c r="A12" s="1224" t="s">
        <v>1625</v>
      </c>
      <c r="B12" s="1184">
        <v>0.1</v>
      </c>
      <c r="C12" s="1185">
        <f>B12/B17*1000</f>
        <v>0.95351609058402864</v>
      </c>
      <c r="D12" s="1191">
        <f>B12/B17</f>
        <v>9.5351609058402862E-4</v>
      </c>
      <c r="E12" s="1263">
        <f>D12*E4</f>
        <v>9.5351609058402856E-3</v>
      </c>
      <c r="F12" s="1188">
        <v>0</v>
      </c>
      <c r="G12" s="1189">
        <f t="shared" si="0"/>
        <v>0</v>
      </c>
      <c r="I12" s="1172"/>
      <c r="J12" s="1172"/>
    </row>
    <row r="13" spans="1:17" ht="17.45" customHeight="1">
      <c r="A13" s="1224" t="s">
        <v>1626</v>
      </c>
      <c r="B13" s="1184">
        <v>0.1</v>
      </c>
      <c r="C13" s="1185">
        <f>B13/B17*1000</f>
        <v>0.95351609058402864</v>
      </c>
      <c r="D13" s="1191">
        <f>B13/B17</f>
        <v>9.5351609058402862E-4</v>
      </c>
      <c r="E13" s="1263">
        <f>D13*E4</f>
        <v>9.5351609058402856E-3</v>
      </c>
      <c r="F13" s="1188">
        <v>0</v>
      </c>
      <c r="G13" s="1189">
        <f t="shared" si="0"/>
        <v>0</v>
      </c>
      <c r="I13" s="1172"/>
      <c r="J13" s="1172"/>
    </row>
    <row r="14" spans="1:17" ht="17.45" customHeight="1">
      <c r="A14" s="1224" t="s">
        <v>1674</v>
      </c>
      <c r="B14" s="1184">
        <v>1</v>
      </c>
      <c r="C14" s="1185">
        <f>B14/B17*1000</f>
        <v>9.5351609058402857</v>
      </c>
      <c r="D14" s="1191">
        <f>B14/B17</f>
        <v>9.5351609058402856E-3</v>
      </c>
      <c r="E14" s="1263">
        <f>D14*E4</f>
        <v>9.5351609058402856E-2</v>
      </c>
      <c r="F14" s="1188">
        <v>0</v>
      </c>
      <c r="G14" s="1189">
        <f t="shared" si="0"/>
        <v>0</v>
      </c>
    </row>
    <row r="15" spans="1:17" ht="17.45" customHeight="1">
      <c r="A15" s="1224" t="s">
        <v>1628</v>
      </c>
      <c r="B15" s="1184">
        <v>2.5000000000000001E-2</v>
      </c>
      <c r="C15" s="1185">
        <f>B15/B17*1000</f>
        <v>0.23837902264600716</v>
      </c>
      <c r="D15" s="1191">
        <f>B15/B17</f>
        <v>2.3837902264600716E-4</v>
      </c>
      <c r="E15" s="1263">
        <f>D15*E4</f>
        <v>2.3837902264600714E-3</v>
      </c>
      <c r="F15" s="1188">
        <v>0</v>
      </c>
      <c r="G15" s="1189">
        <f t="shared" si="0"/>
        <v>0</v>
      </c>
    </row>
    <row r="16" spans="1:17" ht="17.45" customHeight="1">
      <c r="A16" s="1224"/>
      <c r="B16" s="1184">
        <v>0</v>
      </c>
      <c r="C16" s="1185">
        <f>B16/B17*1000</f>
        <v>0</v>
      </c>
      <c r="D16" s="1191">
        <f>B16/B17</f>
        <v>0</v>
      </c>
      <c r="E16" s="1263">
        <f>D16*E4</f>
        <v>0</v>
      </c>
      <c r="F16" s="1188">
        <v>0</v>
      </c>
      <c r="G16" s="1189">
        <f t="shared" si="0"/>
        <v>0</v>
      </c>
    </row>
    <row r="17" spans="1:10" ht="17.45" customHeight="1">
      <c r="A17" s="1193" t="s">
        <v>22</v>
      </c>
      <c r="B17" s="1194">
        <f>SUM(B6:B16)</f>
        <v>104.875</v>
      </c>
      <c r="C17" s="1195">
        <f>SUM(C6:C16)</f>
        <v>999.99999999999989</v>
      </c>
      <c r="D17" s="1191">
        <f>SUM(D6:D16)</f>
        <v>0.99999999999999989</v>
      </c>
      <c r="E17" s="1264">
        <f>SUM(E6:E16)</f>
        <v>10.000000000000002</v>
      </c>
      <c r="F17" s="1189">
        <f>G17/E17</f>
        <v>0</v>
      </c>
      <c r="G17" s="1189">
        <f>SUM(G6:G16)</f>
        <v>0</v>
      </c>
      <c r="I17" s="1172"/>
      <c r="J17" s="1172"/>
    </row>
    <row r="18" spans="1:10" ht="17.45" customHeight="1">
      <c r="A18" s="1197"/>
      <c r="B18" s="1198"/>
      <c r="C18" s="1198"/>
      <c r="D18" s="1199"/>
      <c r="E18" s="1265"/>
      <c r="F18" s="1200"/>
      <c r="G18" s="1200"/>
      <c r="H18" s="1201"/>
      <c r="I18" s="1172"/>
      <c r="J18" s="1172"/>
    </row>
    <row r="19" spans="1:10" ht="17.45" customHeight="1">
      <c r="A19" s="1202" t="s">
        <v>1629</v>
      </c>
      <c r="B19" s="1172"/>
      <c r="C19" s="1203"/>
      <c r="G19" s="1203"/>
      <c r="H19" s="1201"/>
      <c r="I19" s="1172"/>
      <c r="J19" s="1172"/>
    </row>
    <row r="20" spans="1:10" ht="17.45" customHeight="1">
      <c r="A20" s="1204" t="s">
        <v>1630</v>
      </c>
      <c r="B20" s="1205"/>
      <c r="C20" s="1205"/>
      <c r="G20" s="1203"/>
      <c r="H20" s="1201"/>
      <c r="I20" s="1172"/>
      <c r="J20" s="1172"/>
    </row>
    <row r="21" spans="1:10" ht="17.45" customHeight="1">
      <c r="A21" s="1204" t="s">
        <v>1631</v>
      </c>
      <c r="B21" s="1205"/>
      <c r="C21" s="1205"/>
      <c r="G21" s="1203"/>
      <c r="H21" s="1201"/>
      <c r="I21" s="1172"/>
      <c r="J21" s="1172"/>
    </row>
    <row r="22" spans="1:10" ht="17.45" customHeight="1">
      <c r="A22" s="1206" t="s">
        <v>1632</v>
      </c>
      <c r="B22" s="1207"/>
      <c r="C22" s="1207"/>
      <c r="D22" s="1208"/>
      <c r="E22" s="1267"/>
      <c r="F22" s="1209"/>
      <c r="G22" s="1210"/>
      <c r="H22" s="1210"/>
      <c r="I22" s="1172"/>
      <c r="J22" s="1172"/>
    </row>
    <row r="23" spans="1:10" ht="17.45" customHeight="1">
      <c r="A23" s="1211" t="s">
        <v>1675</v>
      </c>
      <c r="B23" s="1212"/>
      <c r="C23" s="1211"/>
      <c r="D23" s="1211"/>
      <c r="E23" s="1268"/>
      <c r="F23" s="1211"/>
      <c r="H23" s="1172"/>
      <c r="I23" s="1172"/>
      <c r="J23" s="1172"/>
    </row>
    <row r="24" spans="1:10" ht="17.45" customHeight="1">
      <c r="A24" s="1211" t="s">
        <v>1661</v>
      </c>
      <c r="B24" s="1213"/>
      <c r="C24" s="1211"/>
      <c r="D24" s="1211"/>
      <c r="E24" s="1268"/>
      <c r="F24" s="1211"/>
      <c r="G24" s="1215"/>
      <c r="I24" s="1172"/>
      <c r="J24" s="1172"/>
    </row>
    <row r="25" spans="1:10" ht="17.45" customHeight="1">
      <c r="A25" s="1214" t="s">
        <v>1635</v>
      </c>
      <c r="B25" s="1172"/>
      <c r="C25" s="1172"/>
      <c r="D25" s="1172"/>
      <c r="E25" s="1269"/>
      <c r="F25" s="1177"/>
      <c r="G25" s="1215"/>
      <c r="H25" s="1172"/>
      <c r="I25" s="1172"/>
      <c r="J25" s="1172"/>
    </row>
    <row r="26" spans="1:10" ht="17.45" customHeight="1">
      <c r="A26" s="1214" t="s">
        <v>1637</v>
      </c>
      <c r="B26" s="1216" t="s">
        <v>1638</v>
      </c>
      <c r="C26" s="1216" t="s">
        <v>522</v>
      </c>
      <c r="D26" s="1217"/>
      <c r="E26" s="1270"/>
      <c r="F26" s="1172"/>
      <c r="G26" s="1215" t="s">
        <v>1636</v>
      </c>
      <c r="H26" s="1172"/>
      <c r="I26" s="1172"/>
      <c r="J26" s="1172"/>
    </row>
    <row r="27" spans="1:10" ht="17.45" customHeight="1">
      <c r="A27" s="1218"/>
      <c r="B27" s="1216" t="s">
        <v>1639</v>
      </c>
      <c r="C27" s="1216" t="s">
        <v>1640</v>
      </c>
      <c r="D27" s="1217"/>
      <c r="E27" s="1270"/>
      <c r="F27" s="1172"/>
      <c r="H27" s="1172"/>
      <c r="I27" s="1172"/>
      <c r="J27" s="1172"/>
    </row>
    <row r="28" spans="1:10" ht="17.45" customHeight="1">
      <c r="A28" s="1214" t="s">
        <v>1641</v>
      </c>
      <c r="D28" s="1172"/>
      <c r="E28" s="1269"/>
      <c r="F28" s="1177"/>
      <c r="H28" s="1172"/>
      <c r="I28" s="1172"/>
      <c r="J28" s="1172"/>
    </row>
    <row r="30" spans="1:10" ht="17.45" customHeight="1">
      <c r="A30" s="1215" t="s">
        <v>1642</v>
      </c>
    </row>
    <row r="31" spans="1:10" ht="17.45" customHeight="1">
      <c r="A31" s="1173" t="s">
        <v>1643</v>
      </c>
      <c r="G31" s="1215" t="s">
        <v>1644</v>
      </c>
    </row>
    <row r="32" spans="1:10" ht="17.45" customHeight="1">
      <c r="A32" s="1173" t="s">
        <v>1645</v>
      </c>
    </row>
    <row r="33" spans="1:1" ht="17.45" customHeight="1">
      <c r="A33" s="1173" t="s">
        <v>1646</v>
      </c>
    </row>
    <row r="34" spans="1:1" ht="17.45" customHeight="1">
      <c r="A34" s="1173" t="s">
        <v>1647</v>
      </c>
    </row>
    <row r="36" spans="1:1" ht="17.45" customHeight="1">
      <c r="A36" s="1173" t="s">
        <v>1648</v>
      </c>
    </row>
    <row r="37" spans="1:1" ht="17.45" customHeight="1">
      <c r="A37" s="1173" t="s">
        <v>1649</v>
      </c>
    </row>
    <row r="38" spans="1:1" ht="17.45" customHeight="1">
      <c r="A38" s="1173" t="s">
        <v>1650</v>
      </c>
    </row>
    <row r="39" spans="1:1" ht="17.45" customHeight="1">
      <c r="A39" s="1173" t="s">
        <v>1651</v>
      </c>
    </row>
  </sheetData>
  <mergeCells count="1">
    <mergeCell ref="I9:Q9"/>
  </mergeCells>
  <hyperlinks>
    <hyperlink ref="I9" r:id="rId1" display="http://michelmariette.over-blog.fr/"/>
  </hyperlinks>
  <printOptions horizontalCentered="1"/>
  <pageMargins left="0.23622047244094491" right="7.874015748031496E-2" top="7.874015748031496E-2" bottom="0.11811023622047245" header="0.11811023622047245" footer="7.874015748031496E-2"/>
  <pageSetup paperSize="9" scale="85" orientation="portrait" blackAndWhite="1" horizontalDpi="240" verticalDpi="144" copies="0"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106"/>
  <sheetViews>
    <sheetView showZeros="0" zoomScale="115" zoomScaleNormal="115" workbookViewId="0">
      <selection activeCell="F21" sqref="F21"/>
    </sheetView>
  </sheetViews>
  <sheetFormatPr baseColWidth="10" defaultRowHeight="15"/>
  <cols>
    <col min="1" max="1" width="2" customWidth="1"/>
    <col min="2" max="2" width="8.7109375" customWidth="1"/>
    <col min="3" max="3" width="10.7109375" customWidth="1"/>
    <col min="4" max="4" width="17.28515625" customWidth="1"/>
    <col min="5" max="5" width="7.28515625" customWidth="1"/>
    <col min="6" max="6" width="16.7109375" customWidth="1"/>
    <col min="7" max="7" width="60.7109375" customWidth="1"/>
    <col min="8" max="8" width="12.7109375" customWidth="1"/>
    <col min="9" max="9" width="2" customWidth="1"/>
    <col min="10" max="10" width="9.7109375" customWidth="1"/>
    <col min="11" max="11" width="10.7109375" customWidth="1"/>
    <col min="12" max="12" width="16.7109375" customWidth="1"/>
    <col min="13" max="13" width="7.28515625" customWidth="1"/>
    <col min="14" max="14" width="16.7109375" customWidth="1"/>
    <col min="15" max="15" width="60.7109375" customWidth="1"/>
    <col min="16" max="16" width="12.7109375" customWidth="1"/>
    <col min="17" max="17" width="2.28515625" customWidth="1"/>
    <col min="18" max="18" width="17" customWidth="1"/>
    <col min="19" max="19" width="8.7109375" customWidth="1"/>
    <col min="20" max="20" width="10.7109375" customWidth="1"/>
    <col min="21" max="21" width="16.7109375" customWidth="1"/>
    <col min="22" max="22" width="60.7109375" customWidth="1"/>
    <col min="23" max="31" width="12.7109375" customWidth="1"/>
    <col min="32" max="32" width="33.85546875" customWidth="1"/>
    <col min="33" max="47" width="12.7109375" customWidth="1"/>
    <col min="49" max="49" width="62.85546875" customWidth="1"/>
  </cols>
  <sheetData>
    <row r="1" spans="1:50" s="1340" customFormat="1" ht="18.95" customHeight="1">
      <c r="A1"/>
      <c r="B1" s="1337">
        <v>8</v>
      </c>
      <c r="C1" s="1337">
        <v>10</v>
      </c>
      <c r="D1" s="1337">
        <v>16</v>
      </c>
      <c r="E1" s="1337">
        <v>6.57</v>
      </c>
      <c r="F1" s="1337">
        <v>16</v>
      </c>
      <c r="G1" s="1337">
        <v>60</v>
      </c>
      <c r="H1" s="1337">
        <v>12</v>
      </c>
      <c r="I1" s="1337"/>
      <c r="J1" s="1337">
        <v>8</v>
      </c>
      <c r="K1" s="1337">
        <v>10</v>
      </c>
      <c r="L1" s="1337">
        <v>16</v>
      </c>
      <c r="M1" s="1337">
        <v>6.57</v>
      </c>
      <c r="N1" s="1337">
        <v>16</v>
      </c>
      <c r="O1" s="1337">
        <v>60</v>
      </c>
      <c r="P1" s="1337">
        <v>12</v>
      </c>
      <c r="Q1" s="1338">
        <v>1.57</v>
      </c>
      <c r="R1" s="1339" t="s">
        <v>740</v>
      </c>
      <c r="S1" s="52">
        <v>8</v>
      </c>
      <c r="T1" s="52">
        <v>10</v>
      </c>
      <c r="U1" s="52">
        <v>16</v>
      </c>
      <c r="V1" s="52">
        <v>60</v>
      </c>
      <c r="W1" s="52">
        <v>12</v>
      </c>
      <c r="X1" s="52">
        <v>12</v>
      </c>
      <c r="Y1" s="52">
        <v>12</v>
      </c>
      <c r="Z1" s="52">
        <v>12</v>
      </c>
      <c r="AA1" s="52">
        <v>12</v>
      </c>
      <c r="AB1" s="52">
        <v>12</v>
      </c>
      <c r="AC1" s="52">
        <v>12</v>
      </c>
      <c r="AD1" s="52">
        <v>12</v>
      </c>
      <c r="AE1" s="52">
        <v>12</v>
      </c>
      <c r="AF1" s="52"/>
      <c r="AG1" s="52"/>
      <c r="AH1" s="52"/>
      <c r="AI1" s="52"/>
      <c r="AJ1" s="52">
        <v>12</v>
      </c>
      <c r="AK1" s="52">
        <v>12</v>
      </c>
      <c r="AL1" s="52">
        <v>12</v>
      </c>
      <c r="AM1" s="52">
        <v>12</v>
      </c>
      <c r="AN1" s="52">
        <v>12</v>
      </c>
      <c r="AO1" s="52">
        <v>12</v>
      </c>
      <c r="AP1" s="52">
        <v>12</v>
      </c>
      <c r="AQ1" s="52">
        <v>12</v>
      </c>
      <c r="AR1" s="52">
        <v>12</v>
      </c>
      <c r="AS1" s="52">
        <v>12</v>
      </c>
      <c r="AT1" s="52">
        <v>12</v>
      </c>
      <c r="AU1" s="52">
        <v>12</v>
      </c>
      <c r="AV1" s="1340" t="s">
        <v>740</v>
      </c>
      <c r="AX1" s="1341" t="s">
        <v>1598</v>
      </c>
    </row>
    <row r="2" spans="1:50" ht="89.25" customHeight="1">
      <c r="B2" s="2643" t="s">
        <v>2212</v>
      </c>
      <c r="C2" s="2644"/>
      <c r="D2" s="2644"/>
      <c r="E2" s="2644"/>
      <c r="F2" s="2644"/>
      <c r="G2" s="2644"/>
      <c r="H2" s="2644"/>
      <c r="I2" s="2644"/>
      <c r="J2" s="2644"/>
      <c r="K2" s="2644"/>
      <c r="L2" s="2644"/>
      <c r="M2" s="2644"/>
      <c r="N2" s="2644"/>
      <c r="O2" s="2644"/>
      <c r="P2" s="2644"/>
      <c r="Q2" s="2644"/>
      <c r="S2" s="1949"/>
      <c r="T2" s="1949"/>
      <c r="U2" s="1949"/>
      <c r="V2" s="1949"/>
      <c r="W2" s="1949"/>
      <c r="X2" s="1949"/>
      <c r="Y2" s="1949"/>
      <c r="Z2" s="1949"/>
      <c r="AA2" s="1949"/>
      <c r="AB2" s="1949"/>
      <c r="AC2" s="1949"/>
      <c r="AD2" s="1949"/>
      <c r="AE2" s="1949"/>
      <c r="AG2" s="1949"/>
      <c r="AH2" s="1949"/>
      <c r="AI2" s="1949"/>
      <c r="AJ2" s="1949"/>
      <c r="AK2" s="1949"/>
      <c r="AL2" s="1949"/>
      <c r="AM2" s="1949"/>
      <c r="AN2" s="1949"/>
      <c r="AO2" s="1949"/>
      <c r="AP2" s="1949"/>
      <c r="AQ2" s="1949"/>
      <c r="AR2" s="1949"/>
      <c r="AS2" s="1949"/>
      <c r="AT2" s="1949"/>
      <c r="AU2" s="1949"/>
      <c r="AW2" s="1907" t="s">
        <v>1597</v>
      </c>
      <c r="AX2" s="1908">
        <f>ROW()</f>
        <v>2</v>
      </c>
    </row>
    <row r="3" spans="1:50" ht="18.95" customHeight="1" thickBot="1">
      <c r="A3" s="55"/>
      <c r="B3" s="52"/>
      <c r="C3" s="52"/>
      <c r="D3" s="52"/>
      <c r="E3" s="52"/>
      <c r="F3" s="52"/>
      <c r="G3" s="52"/>
      <c r="H3" s="52"/>
      <c r="I3" s="52"/>
      <c r="J3" s="52"/>
      <c r="K3" s="52"/>
      <c r="L3" s="52"/>
      <c r="M3" s="52"/>
      <c r="N3" s="52"/>
      <c r="O3" s="741"/>
      <c r="P3" s="52"/>
      <c r="Q3" s="52"/>
      <c r="R3" s="52"/>
    </row>
    <row r="4" spans="1:50" ht="26.25" customHeight="1" thickBot="1">
      <c r="A4" s="50" t="s">
        <v>742</v>
      </c>
      <c r="B4" s="2477" t="s">
        <v>2213</v>
      </c>
      <c r="C4" s="2478"/>
      <c r="D4" s="2478"/>
      <c r="E4" s="2478"/>
      <c r="F4" s="2478"/>
      <c r="G4" s="2478"/>
      <c r="H4" s="2478"/>
      <c r="I4" s="2478"/>
      <c r="J4" s="2478"/>
      <c r="K4" s="2478"/>
      <c r="L4" s="2478"/>
      <c r="M4" s="2478"/>
      <c r="N4" s="2478"/>
      <c r="O4" s="2478"/>
      <c r="P4" s="2478"/>
      <c r="Q4" s="2479"/>
      <c r="S4" s="2480" t="s">
        <v>1596</v>
      </c>
      <c r="T4" s="2481"/>
      <c r="U4" s="2481"/>
      <c r="V4" s="2481"/>
      <c r="W4" s="2481"/>
      <c r="X4" s="2452" t="s">
        <v>1595</v>
      </c>
      <c r="Y4" s="2452"/>
      <c r="Z4" s="2452"/>
      <c r="AA4" s="2452"/>
      <c r="AB4" s="2452"/>
      <c r="AC4" s="2452"/>
      <c r="AD4" s="2452"/>
      <c r="AE4" s="2482"/>
      <c r="AG4" s="1115"/>
      <c r="AH4" s="729"/>
      <c r="AI4" s="729"/>
      <c r="AJ4" s="729"/>
      <c r="AK4" s="729"/>
      <c r="AL4" s="729"/>
      <c r="AM4" s="729"/>
      <c r="AN4" s="729"/>
      <c r="AO4" s="729"/>
      <c r="AP4" s="729"/>
      <c r="AQ4" s="729"/>
      <c r="AR4" s="729"/>
      <c r="AS4" s="729"/>
      <c r="AT4" s="729"/>
      <c r="AU4" s="729"/>
      <c r="AW4" s="1911" t="s">
        <v>1597</v>
      </c>
      <c r="AX4" s="1912">
        <f>ROW()</f>
        <v>4</v>
      </c>
    </row>
    <row r="5" spans="1:50" ht="28.5" customHeight="1">
      <c r="A5" s="49" t="s">
        <v>819</v>
      </c>
      <c r="B5" s="2483" t="str">
        <f>T5</f>
        <v>Nom de la recette à saisir colonne R</v>
      </c>
      <c r="C5" s="2484"/>
      <c r="D5" s="2484"/>
      <c r="E5" s="2484"/>
      <c r="F5" s="2484"/>
      <c r="G5" s="2484"/>
      <c r="H5" s="654" t="str">
        <f>W5</f>
        <v>N°1</v>
      </c>
      <c r="I5" s="1467" t="s">
        <v>819</v>
      </c>
      <c r="J5" s="2485" t="str">
        <f>T5</f>
        <v>Nom de la recette à saisir colonne R</v>
      </c>
      <c r="K5" s="2486"/>
      <c r="L5" s="2486"/>
      <c r="M5" s="2486"/>
      <c r="N5" s="2486"/>
      <c r="O5" s="2486"/>
      <c r="P5" s="654" t="str">
        <f>W5</f>
        <v>N°1</v>
      </c>
      <c r="Q5" s="1343" t="s">
        <v>818</v>
      </c>
      <c r="S5" s="1582" t="s">
        <v>75</v>
      </c>
      <c r="T5" s="2487" t="s">
        <v>2214</v>
      </c>
      <c r="U5" s="2487"/>
      <c r="V5" s="2487"/>
      <c r="W5" s="1583" t="s">
        <v>74</v>
      </c>
      <c r="X5" s="784"/>
      <c r="Y5" s="784"/>
      <c r="Z5" s="784"/>
      <c r="AA5" s="784"/>
      <c r="AB5" s="1943" t="str">
        <f>LEFT(ADDRESS(1,COLUMN(),4),LEN(ADDRESS(1,COLUMN(),4))-1)</f>
        <v>AB</v>
      </c>
      <c r="AC5" s="784"/>
      <c r="AD5" s="784"/>
      <c r="AE5" s="1114"/>
      <c r="AG5" s="2451" t="s">
        <v>735</v>
      </c>
      <c r="AH5" s="2452"/>
      <c r="AI5" s="2452"/>
      <c r="AJ5" s="2452"/>
      <c r="AK5" s="2452"/>
      <c r="AL5" s="2452"/>
      <c r="AM5" s="2452"/>
      <c r="AN5" s="2452"/>
      <c r="AO5" s="2452"/>
      <c r="AP5" s="2452"/>
      <c r="AQ5" s="2452"/>
      <c r="AR5" s="2452"/>
      <c r="AS5" s="2452"/>
      <c r="AT5" s="2452"/>
      <c r="AU5" s="2452"/>
      <c r="AW5" s="791" t="s">
        <v>755</v>
      </c>
      <c r="AX5" s="1942">
        <f>ROW()</f>
        <v>5</v>
      </c>
    </row>
    <row r="6" spans="1:50" ht="18" customHeight="1">
      <c r="A6" s="2453"/>
      <c r="B6" s="1575" t="s">
        <v>73</v>
      </c>
      <c r="C6" s="48" t="str">
        <f>T6</f>
        <v>? Albert A VOUS DE SAISIR LE NOM DE L'AUTEUR colonne R</v>
      </c>
      <c r="D6" s="47"/>
      <c r="E6" s="47"/>
      <c r="F6" s="47"/>
      <c r="G6" s="47"/>
      <c r="H6" s="1408"/>
      <c r="I6" s="2454"/>
      <c r="J6" s="44" t="s">
        <v>73</v>
      </c>
      <c r="K6" s="48" t="str">
        <f>T6</f>
        <v>? Albert A VOUS DE SAISIR LE NOM DE L'AUTEUR colonne R</v>
      </c>
      <c r="L6" s="47"/>
      <c r="M6" s="47"/>
      <c r="N6" s="47"/>
      <c r="O6" s="47"/>
      <c r="P6" s="47"/>
      <c r="Q6" s="2455"/>
      <c r="S6" s="1584" t="s">
        <v>72</v>
      </c>
      <c r="T6" s="2456" t="s">
        <v>2215</v>
      </c>
      <c r="U6" s="2456"/>
      <c r="V6" s="2456"/>
      <c r="W6" s="2457"/>
      <c r="X6" s="2458" t="s">
        <v>736</v>
      </c>
      <c r="Y6" s="2459"/>
      <c r="Z6" s="2459"/>
      <c r="AA6" s="2459"/>
      <c r="AB6" s="2459"/>
      <c r="AC6" s="2459"/>
      <c r="AD6" s="2459"/>
      <c r="AE6" s="2460"/>
      <c r="AG6" s="2461" t="s">
        <v>736</v>
      </c>
      <c r="AH6" s="2462"/>
      <c r="AI6" s="2462"/>
      <c r="AJ6" s="2462"/>
      <c r="AK6" s="2462"/>
      <c r="AL6" s="2462"/>
      <c r="AM6" s="2462"/>
      <c r="AN6" s="2462"/>
      <c r="AO6" s="2462"/>
      <c r="AP6" s="2462"/>
      <c r="AQ6" s="2462"/>
      <c r="AR6" s="2462"/>
      <c r="AS6" s="2462"/>
      <c r="AT6" s="2462"/>
      <c r="AU6" s="2462"/>
      <c r="AW6" s="791" t="s">
        <v>755</v>
      </c>
      <c r="AX6" s="1942">
        <f>ROW()</f>
        <v>6</v>
      </c>
    </row>
    <row r="7" spans="1:50" ht="18" customHeight="1" thickBot="1">
      <c r="A7" s="2453"/>
      <c r="B7" s="1575" t="str">
        <f>S7</f>
        <v>❸ Constituant de quelle recette ?</v>
      </c>
      <c r="C7" s="46"/>
      <c r="D7" s="46"/>
      <c r="E7" s="46" t="str">
        <f>V7</f>
        <v>? une pâtisserie est souvent composée de recettes filles  attachées à une recette Mère</v>
      </c>
      <c r="F7" s="44"/>
      <c r="G7" s="54"/>
      <c r="H7" s="1409" t="s">
        <v>1716</v>
      </c>
      <c r="I7" s="2454"/>
      <c r="J7" s="44" t="str">
        <f>S7</f>
        <v>❸ Constituant de quelle recette ?</v>
      </c>
      <c r="K7" s="44"/>
      <c r="L7" s="44"/>
      <c r="M7" s="44"/>
      <c r="N7" s="44"/>
      <c r="O7" s="2463" t="str">
        <f>V7</f>
        <v>? une pâtisserie est souvent composée de recettes filles  attachées à une recette Mère</v>
      </c>
      <c r="P7" s="2463"/>
      <c r="Q7" s="2455"/>
      <c r="S7" s="1585" t="s">
        <v>71</v>
      </c>
      <c r="T7" s="342"/>
      <c r="U7" s="342"/>
      <c r="V7" s="2464" t="s">
        <v>684</v>
      </c>
      <c r="W7" s="2465"/>
      <c r="X7" s="2458"/>
      <c r="Y7" s="2459"/>
      <c r="Z7" s="2459"/>
      <c r="AA7" s="2459"/>
      <c r="AB7" s="2459"/>
      <c r="AC7" s="2459"/>
      <c r="AD7" s="2459"/>
      <c r="AE7" s="2460"/>
      <c r="AG7" s="2461"/>
      <c r="AH7" s="2462"/>
      <c r="AI7" s="2462"/>
      <c r="AJ7" s="2462"/>
      <c r="AK7" s="2462"/>
      <c r="AL7" s="2462"/>
      <c r="AM7" s="2462"/>
      <c r="AN7" s="2462"/>
      <c r="AO7" s="2462"/>
      <c r="AP7" s="2462"/>
      <c r="AQ7" s="2462"/>
      <c r="AR7" s="2462"/>
      <c r="AS7" s="2462"/>
      <c r="AT7" s="2462"/>
      <c r="AU7" s="2462"/>
      <c r="AW7" s="791" t="s">
        <v>755</v>
      </c>
      <c r="AX7" s="1942">
        <f>ROW()</f>
        <v>7</v>
      </c>
    </row>
    <row r="8" spans="1:50" ht="18" customHeight="1">
      <c r="A8" s="2453"/>
      <c r="B8" s="2466" t="s">
        <v>1717</v>
      </c>
      <c r="C8" s="2467"/>
      <c r="D8" s="2543">
        <v>20</v>
      </c>
      <c r="E8" s="1410" t="s">
        <v>84</v>
      </c>
      <c r="F8" s="1411">
        <f>P10</f>
        <v>6750</v>
      </c>
      <c r="G8" s="54"/>
      <c r="H8" s="1412">
        <f>D11/D8</f>
        <v>37.6</v>
      </c>
      <c r="I8" s="2454"/>
      <c r="J8" s="2473">
        <v>135</v>
      </c>
      <c r="K8" s="2393" t="s">
        <v>1694</v>
      </c>
      <c r="L8" s="2393"/>
      <c r="M8" s="1944"/>
      <c r="N8" s="1944"/>
      <c r="O8" s="2443" t="str">
        <f>IF(D10=1,"avec le poids BRUT de la recette vous pourriez faire : Nb de portions &gt;","avec le poids NET de la recette vous pourriez faire : Nb de portions &gt;")</f>
        <v>avec le poids BRUT de la recette vous pourriez faire : Nb de portions &gt;</v>
      </c>
      <c r="P8" s="2445">
        <f>IF(F11&gt;0,(F11/J8),(D11/J8))</f>
        <v>5.5703703703703704</v>
      </c>
      <c r="Q8" s="2455"/>
      <c r="S8" s="1574"/>
      <c r="T8" s="42"/>
      <c r="U8" s="42"/>
      <c r="V8" s="1946"/>
      <c r="W8" s="1055"/>
      <c r="X8" s="2447" t="s">
        <v>574</v>
      </c>
      <c r="Y8" s="2447"/>
      <c r="Z8" s="2448"/>
      <c r="AA8" s="2426" t="s">
        <v>817</v>
      </c>
      <c r="AB8" s="2427" t="str">
        <f>IF(AB11&gt;0,"vous avez saisi un % de perte pour TOUTE LA RECETTE colonne Z",IF(AB46&gt;0,"Vous avez saisi des pourcentages de PERTES par produit colonne Z","Vous pouvez saisir un % de perte pour chaque PRODUIT ou pour la recette colonne Z"))</f>
        <v>Vous pouvez saisir un % de perte pour chaque PRODUIT ou pour la recette colonne Z</v>
      </c>
      <c r="AC8" s="2427"/>
      <c r="AD8" s="2427"/>
      <c r="AE8" s="2428"/>
      <c r="AG8" s="1413">
        <f>AG47/AI11</f>
        <v>37.6</v>
      </c>
      <c r="AH8" s="1414" t="s">
        <v>1718</v>
      </c>
      <c r="AI8" s="1414"/>
      <c r="AJ8" s="1413">
        <f>AJ47/AM11</f>
        <v>37.6</v>
      </c>
      <c r="AK8" s="646">
        <f>AK47/AM11</f>
        <v>37.6</v>
      </c>
      <c r="AL8" s="1414" t="s">
        <v>1718</v>
      </c>
      <c r="AM8" s="346"/>
      <c r="AN8" s="1415">
        <f>AN47/AQ11</f>
        <v>37.6</v>
      </c>
      <c r="AO8" s="715">
        <f>AO47/AQ11</f>
        <v>37.6</v>
      </c>
      <c r="AP8" s="1414" t="s">
        <v>1718</v>
      </c>
      <c r="AQ8" s="1416"/>
      <c r="AR8" s="600"/>
      <c r="AS8" s="600"/>
      <c r="AT8" s="600"/>
      <c r="AU8" s="600"/>
      <c r="AW8" s="791" t="s">
        <v>755</v>
      </c>
      <c r="AX8" s="1942">
        <f>ROW()</f>
        <v>8</v>
      </c>
    </row>
    <row r="9" spans="1:50" ht="18" customHeight="1" thickBot="1">
      <c r="A9" s="2453"/>
      <c r="B9" s="1446">
        <f>W11</f>
        <v>50</v>
      </c>
      <c r="C9" s="1447" t="s">
        <v>84</v>
      </c>
      <c r="D9" s="2544"/>
      <c r="E9" s="1417" t="s">
        <v>1719</v>
      </c>
      <c r="F9" s="1418">
        <f>P11</f>
        <v>179.52127659574467</v>
      </c>
      <c r="G9" s="726"/>
      <c r="H9" s="1409" t="s">
        <v>1720</v>
      </c>
      <c r="I9" s="2454"/>
      <c r="J9" s="2474"/>
      <c r="K9" s="2394"/>
      <c r="L9" s="2394"/>
      <c r="M9" s="1941"/>
      <c r="N9" s="1941"/>
      <c r="O9" s="2444"/>
      <c r="P9" s="2446"/>
      <c r="Q9" s="2455"/>
      <c r="S9" s="609" t="s">
        <v>106</v>
      </c>
      <c r="T9" s="608" t="str">
        <f>AB8</f>
        <v>Vous pouvez saisir un % de perte pour chaque PRODUIT ou pour la recette colonne Z</v>
      </c>
      <c r="U9" s="42"/>
      <c r="V9" s="1946"/>
      <c r="W9" s="1055"/>
      <c r="X9" s="2447"/>
      <c r="Y9" s="2447"/>
      <c r="Z9" s="2448"/>
      <c r="AA9" s="2426"/>
      <c r="AB9" s="2427"/>
      <c r="AC9" s="2427"/>
      <c r="AD9" s="2427"/>
      <c r="AE9" s="2428"/>
      <c r="AG9" s="2468" t="s">
        <v>1721</v>
      </c>
      <c r="AH9" s="2469"/>
      <c r="AI9" s="2470"/>
      <c r="AJ9" s="2469" t="s">
        <v>697</v>
      </c>
      <c r="AK9" s="2469"/>
      <c r="AL9" s="2469"/>
      <c r="AM9" s="2469"/>
      <c r="AN9" s="2468" t="s">
        <v>698</v>
      </c>
      <c r="AO9" s="2469"/>
      <c r="AP9" s="2469"/>
      <c r="AQ9" s="2470"/>
      <c r="AR9" s="2469" t="s">
        <v>586</v>
      </c>
      <c r="AS9" s="2469"/>
      <c r="AT9" s="2469"/>
      <c r="AU9" s="2469"/>
      <c r="AW9" s="791" t="s">
        <v>755</v>
      </c>
      <c r="AX9" s="1942">
        <f>ROW()</f>
        <v>9</v>
      </c>
    </row>
    <row r="10" spans="1:50" ht="18" customHeight="1">
      <c r="A10" s="2453"/>
      <c r="B10" s="1588"/>
      <c r="C10" s="614" t="s">
        <v>1567</v>
      </c>
      <c r="D10" s="612">
        <v>1</v>
      </c>
      <c r="E10" s="642" t="str">
        <f>IF(D10=1,AG9,IF(D10=2,AJ9,IF(D10=3,AN9,IF(D10&gt;3,"LE N° DE CHOIX S'ARRETE AU N° 3"))))</f>
        <v>1 = RECETTE DE L'AUTEUR AVEC VOTRE EFFECTIF</v>
      </c>
      <c r="F10" s="643"/>
      <c r="G10" s="643"/>
      <c r="H10" s="1412">
        <f>IF(F11=0,0,H8*(D11/F11))</f>
        <v>0</v>
      </c>
      <c r="I10" s="2454"/>
      <c r="J10" s="1419">
        <v>50</v>
      </c>
      <c r="K10" s="1346" t="s">
        <v>1697</v>
      </c>
      <c r="L10" s="1347"/>
      <c r="M10" s="1347"/>
      <c r="N10" s="1347"/>
      <c r="O10" s="1420" t="s">
        <v>84</v>
      </c>
      <c r="P10" s="1421">
        <f>J11*J10</f>
        <v>6750</v>
      </c>
      <c r="Q10" s="2455"/>
      <c r="S10" s="1569"/>
      <c r="T10" s="36" t="s">
        <v>1</v>
      </c>
      <c r="U10" s="37">
        <v>2</v>
      </c>
      <c r="V10" s="36" t="s">
        <v>0</v>
      </c>
      <c r="W10" s="1106">
        <v>2</v>
      </c>
      <c r="X10" s="2447"/>
      <c r="Y10" s="2447"/>
      <c r="Z10" s="2448"/>
      <c r="AA10" s="2426"/>
      <c r="AB10" s="2427"/>
      <c r="AC10" s="2427"/>
      <c r="AD10" s="2427"/>
      <c r="AE10" s="2428"/>
      <c r="AG10" s="2468"/>
      <c r="AH10" s="2469"/>
      <c r="AI10" s="2470"/>
      <c r="AJ10" s="2468"/>
      <c r="AK10" s="2469"/>
      <c r="AL10" s="2469"/>
      <c r="AM10" s="2469"/>
      <c r="AN10" s="2468"/>
      <c r="AO10" s="2469"/>
      <c r="AP10" s="2469"/>
      <c r="AQ10" s="2470"/>
      <c r="AR10" s="2469"/>
      <c r="AS10" s="2469"/>
      <c r="AT10" s="2469"/>
      <c r="AU10" s="2469"/>
      <c r="AW10" s="791" t="s">
        <v>755</v>
      </c>
      <c r="AX10" s="1942">
        <f>ROW()</f>
        <v>10</v>
      </c>
    </row>
    <row r="11" spans="1:50" ht="30" customHeight="1">
      <c r="A11" s="2453"/>
      <c r="B11" s="639"/>
      <c r="C11" s="639" t="str">
        <f>IF(D10=1,"CHOIX N° 1",IF(D10=2,"CHOIX N° 2",IF(D10=3,"CHOIX N° 3","QUEL CHOIX?")))</f>
        <v>CHOIX N° 1</v>
      </c>
      <c r="D11" s="637">
        <f>D47</f>
        <v>752</v>
      </c>
      <c r="E11" s="2383" t="s">
        <v>52</v>
      </c>
      <c r="F11" s="637">
        <f>F47</f>
        <v>0</v>
      </c>
      <c r="G11" s="1589" t="s">
        <v>1568</v>
      </c>
      <c r="I11" s="2454"/>
      <c r="J11" s="1422">
        <v>135</v>
      </c>
      <c r="K11" s="1080" t="s">
        <v>1722</v>
      </c>
      <c r="L11" s="1081"/>
      <c r="M11" s="1081"/>
      <c r="N11" s="1423"/>
      <c r="O11" s="1424" t="s">
        <v>1723</v>
      </c>
      <c r="P11" s="1425">
        <f>P10/W12</f>
        <v>179.52127659574467</v>
      </c>
      <c r="Q11" s="2455"/>
      <c r="S11" s="1565" t="s">
        <v>1562</v>
      </c>
      <c r="T11" s="30"/>
      <c r="U11" s="30"/>
      <c r="V11" s="343" t="s">
        <v>439</v>
      </c>
      <c r="W11" s="1426">
        <v>50</v>
      </c>
      <c r="X11" s="2449">
        <v>1000</v>
      </c>
      <c r="Y11" s="2449"/>
      <c r="Z11" s="2450"/>
      <c r="AA11" s="2426"/>
      <c r="AB11" s="629"/>
      <c r="AC11" s="1349" t="s">
        <v>1575</v>
      </c>
      <c r="AD11" s="1350"/>
      <c r="AE11" s="1351"/>
      <c r="AG11" s="601"/>
      <c r="AH11" s="603" t="s">
        <v>1724</v>
      </c>
      <c r="AI11" s="1427">
        <f>D8</f>
        <v>20</v>
      </c>
      <c r="AJ11" s="601"/>
      <c r="AK11" s="602"/>
      <c r="AL11" s="603" t="s">
        <v>1725</v>
      </c>
      <c r="AM11" s="1427">
        <f>D8</f>
        <v>20</v>
      </c>
      <c r="AN11" s="617"/>
      <c r="AO11" s="603"/>
      <c r="AP11" s="603" t="s">
        <v>1726</v>
      </c>
      <c r="AQ11" s="1428">
        <f>D8</f>
        <v>20</v>
      </c>
      <c r="AR11" s="602"/>
      <c r="AS11" s="593">
        <f>SUM(AS13:AS42)</f>
        <v>0</v>
      </c>
      <c r="AT11" s="615"/>
      <c r="AU11" s="616"/>
      <c r="AW11" s="791" t="s">
        <v>755</v>
      </c>
      <c r="AX11" s="1942">
        <f>ROW()</f>
        <v>11</v>
      </c>
    </row>
    <row r="12" spans="1:50" ht="36.75" customHeight="1">
      <c r="A12" s="2453"/>
      <c r="B12" s="1442" t="s">
        <v>61</v>
      </c>
      <c r="C12" s="1443" t="s">
        <v>60</v>
      </c>
      <c r="D12" s="1443" t="s">
        <v>577</v>
      </c>
      <c r="E12" s="2383"/>
      <c r="F12" s="1444" t="s">
        <v>576</v>
      </c>
      <c r="G12" s="1286" t="s">
        <v>65</v>
      </c>
      <c r="H12" s="1352" t="s">
        <v>64</v>
      </c>
      <c r="I12" s="2454"/>
      <c r="J12" s="1353"/>
      <c r="K12" s="1354" t="s">
        <v>1</v>
      </c>
      <c r="L12" s="1355">
        <f>U10</f>
        <v>2</v>
      </c>
      <c r="M12" s="1355"/>
      <c r="N12" s="1355"/>
      <c r="O12" s="1356" t="s">
        <v>0</v>
      </c>
      <c r="P12" s="1355">
        <f>W10</f>
        <v>2</v>
      </c>
      <c r="Q12" s="2455"/>
      <c r="R12" s="1357" t="s">
        <v>1487</v>
      </c>
      <c r="S12" s="1358" t="s">
        <v>61</v>
      </c>
      <c r="T12" s="1359" t="s">
        <v>60</v>
      </c>
      <c r="U12" s="1360" t="s">
        <v>63</v>
      </c>
      <c r="V12" s="1361" t="s">
        <v>62</v>
      </c>
      <c r="W12" s="1950">
        <f>W46/W11</f>
        <v>37.6</v>
      </c>
      <c r="X12" s="622" t="s">
        <v>490</v>
      </c>
      <c r="Y12" s="622" t="s">
        <v>61</v>
      </c>
      <c r="Z12" s="620" t="s">
        <v>60</v>
      </c>
      <c r="AA12" s="1060"/>
      <c r="AB12" s="718" t="s">
        <v>1565</v>
      </c>
      <c r="AC12" s="718" t="s">
        <v>702</v>
      </c>
      <c r="AD12" s="622" t="s">
        <v>703</v>
      </c>
      <c r="AE12" s="620" t="s">
        <v>474</v>
      </c>
      <c r="AF12" s="1357" t="s">
        <v>1487</v>
      </c>
      <c r="AG12" s="619" t="s">
        <v>577</v>
      </c>
      <c r="AH12" s="622" t="s">
        <v>61</v>
      </c>
      <c r="AI12" s="622" t="s">
        <v>60</v>
      </c>
      <c r="AJ12" s="619" t="s">
        <v>576</v>
      </c>
      <c r="AK12" s="645" t="s">
        <v>577</v>
      </c>
      <c r="AL12" s="622" t="s">
        <v>61</v>
      </c>
      <c r="AM12" s="620" t="s">
        <v>60</v>
      </c>
      <c r="AN12" s="645" t="s">
        <v>576</v>
      </c>
      <c r="AO12" s="622" t="s">
        <v>577</v>
      </c>
      <c r="AP12" s="622" t="s">
        <v>61</v>
      </c>
      <c r="AQ12" s="620" t="s">
        <v>60</v>
      </c>
      <c r="AR12" s="619" t="s">
        <v>576</v>
      </c>
      <c r="AS12" s="622" t="s">
        <v>577</v>
      </c>
      <c r="AT12" s="622" t="s">
        <v>61</v>
      </c>
      <c r="AU12" s="622" t="s">
        <v>60</v>
      </c>
      <c r="AW12" s="791" t="s">
        <v>755</v>
      </c>
      <c r="AX12" s="1942">
        <f>ROW()</f>
        <v>12</v>
      </c>
    </row>
    <row r="13" spans="1:50" ht="18.95" customHeight="1">
      <c r="A13" s="2453"/>
      <c r="B13" s="1967">
        <f>IF(D10=1,AH13,IF(D10=2,AL13,IF(D10=3,AP13,IF(D10=4,AT13))))</f>
        <v>0.4</v>
      </c>
      <c r="C13" s="1438" t="str">
        <f>IF(D10=1,AI13,IF(D10=2,AM13,IF(D10=3,AQ13,IF(D10=4,AU13))))</f>
        <v>litre</v>
      </c>
      <c r="D13" s="1951">
        <f>IF(D10=1,AG13,IF(D10=2,AK13,IF(D10=3,AO13,IF(D10=4,AS13))))</f>
        <v>400</v>
      </c>
      <c r="E13" s="1440" t="str">
        <f>IF(D10=1,"",IF(D13=F13,"",AD13))</f>
        <v/>
      </c>
      <c r="F13" s="1952" t="str">
        <f>IF(D10=1,"",IF(D10=2,AJ13,IF(D10=3,AN13,IF(D10=4,AR13))))</f>
        <v/>
      </c>
      <c r="G13" s="22" t="str">
        <f t="shared" ref="G13:G45" si="0">V13</f>
        <v>1. litre de lait</v>
      </c>
      <c r="H13" s="1074">
        <f>W46</f>
        <v>1880</v>
      </c>
      <c r="I13" s="2454"/>
      <c r="J13" s="1280" t="s">
        <v>68</v>
      </c>
      <c r="K13" s="33"/>
      <c r="L13" s="32"/>
      <c r="M13" s="32"/>
      <c r="N13" s="32"/>
      <c r="O13" s="15">
        <f>J10*O15</f>
        <v>0</v>
      </c>
      <c r="P13" s="15"/>
      <c r="Q13" s="2455"/>
      <c r="S13" s="1953">
        <v>1</v>
      </c>
      <c r="T13" s="1282" t="s">
        <v>729</v>
      </c>
      <c r="U13" s="1284">
        <v>1000</v>
      </c>
      <c r="V13" s="19" t="s">
        <v>82</v>
      </c>
      <c r="W13" s="626">
        <f t="shared" ref="W13:W45" si="1">IF(ISBLANK(S13),U13,(U13*S13))</f>
        <v>1000</v>
      </c>
      <c r="X13" s="331">
        <f>(W13/W46)*X11</f>
        <v>531.91489361702122</v>
      </c>
      <c r="Y13" s="18">
        <f>IF(ISBLANK(S13),"",(S13/W46)*X11)</f>
        <v>0.53191489361702127</v>
      </c>
      <c r="Z13" s="594" t="str">
        <f>T13</f>
        <v>litre</v>
      </c>
      <c r="AA13" s="1365">
        <f>W13/W46</f>
        <v>0.53191489361702127</v>
      </c>
      <c r="AB13" s="630"/>
      <c r="AC13" s="624">
        <f>AB11</f>
        <v>0</v>
      </c>
      <c r="AD13" s="624">
        <f>AB13+AC13</f>
        <v>0</v>
      </c>
      <c r="AE13" s="1366">
        <f>1-AD13</f>
        <v>1</v>
      </c>
      <c r="AG13" s="623">
        <f>((W13/W11)*AI11)</f>
        <v>400</v>
      </c>
      <c r="AH13" s="18">
        <f>IF(ISTEXT(S13),S13,IF(ISBLANK(S13),0,(S13/W11)*AI11))</f>
        <v>0.4</v>
      </c>
      <c r="AI13" s="17" t="str">
        <f t="shared" ref="AI13:AI45" si="2">T13</f>
        <v>litre</v>
      </c>
      <c r="AJ13" s="1413">
        <f t="shared" ref="AJ13:AJ45" si="3">AK13*AE13</f>
        <v>400</v>
      </c>
      <c r="AK13" s="646">
        <f>(W13/W11)*AM11</f>
        <v>400</v>
      </c>
      <c r="AL13" s="18">
        <f>IF(ISBLANK(S13),0,(S13/W11)*AM11)</f>
        <v>0.4</v>
      </c>
      <c r="AM13" s="594" t="str">
        <f t="shared" ref="AM13:AM45" si="4">T13</f>
        <v>litre</v>
      </c>
      <c r="AN13" s="646">
        <f>AK13</f>
        <v>400</v>
      </c>
      <c r="AO13" s="715">
        <f t="shared" ref="AO13:AO45" si="5">(AN13*AD13)+AN13</f>
        <v>400</v>
      </c>
      <c r="AP13" s="18">
        <f>IF(ISBLANK(S13),0,(S13/W46)*AO47)</f>
        <v>0.4</v>
      </c>
      <c r="AQ13" s="594" t="str">
        <f t="shared" ref="AQ13:AQ45" si="6">T13</f>
        <v>litre</v>
      </c>
      <c r="AR13" s="649" t="s">
        <v>588</v>
      </c>
      <c r="AS13" s="648" t="s">
        <v>589</v>
      </c>
      <c r="AT13" s="648" t="s">
        <v>587</v>
      </c>
      <c r="AU13" s="648">
        <v>3</v>
      </c>
      <c r="AW13" s="791" t="s">
        <v>755</v>
      </c>
      <c r="AX13" s="1942">
        <f>ROW()</f>
        <v>13</v>
      </c>
    </row>
    <row r="14" spans="1:50" ht="18.95" customHeight="1">
      <c r="A14" s="2453"/>
      <c r="B14" s="1967">
        <f>IF(D10=1,AH14,IF(D10=2,AL14,IF(D10=3,AP14,IF(D10=4,AT14))))</f>
        <v>0</v>
      </c>
      <c r="C14" s="1438">
        <f>IF(D10=1,AI14,IF(D10=2,AM14,IF(D10=3,AQ14,IF(D10=4,AU14))))</f>
        <v>0</v>
      </c>
      <c r="D14" s="1951">
        <f>IF(D10=1,AG14,IF(D10=2,AK14,IF(D10=3,AO14,IF(D10=4,AS14))))</f>
        <v>200</v>
      </c>
      <c r="E14" s="1440" t="str">
        <f>IF(D10=1,"",IF(D14=F14,"",AD14))</f>
        <v/>
      </c>
      <c r="F14" s="1952" t="str">
        <f>IF(D10=1,"",IF(D10=2,AJ14,IF(D10=3,AN14,IF(D10=4,AR14))))</f>
        <v/>
      </c>
      <c r="G14" s="22" t="str">
        <f t="shared" si="0"/>
        <v>0.500 kg de pain sec (avec le moins de croute colorée possible)</v>
      </c>
      <c r="H14" s="22"/>
      <c r="I14" s="2454"/>
      <c r="J14" s="1530">
        <v>1</v>
      </c>
      <c r="K14" s="15"/>
      <c r="L14" s="15"/>
      <c r="M14" s="15"/>
      <c r="N14" s="15"/>
      <c r="O14" s="15"/>
      <c r="P14" s="15"/>
      <c r="Q14" s="2455"/>
      <c r="S14" s="1953"/>
      <c r="T14" s="1282"/>
      <c r="U14" s="1284">
        <v>500</v>
      </c>
      <c r="V14" s="19" t="s">
        <v>81</v>
      </c>
      <c r="W14" s="626">
        <f t="shared" si="1"/>
        <v>500</v>
      </c>
      <c r="X14" s="331">
        <f>(W14/W46)*X11</f>
        <v>265.95744680851061</v>
      </c>
      <c r="Y14" s="18" t="str">
        <f>IF(ISBLANK(S14),"",(S14/W46)*X11)</f>
        <v/>
      </c>
      <c r="Z14" s="594">
        <f>T14</f>
        <v>0</v>
      </c>
      <c r="AA14" s="1365">
        <f>W14/W46</f>
        <v>0.26595744680851063</v>
      </c>
      <c r="AB14" s="630"/>
      <c r="AC14" s="624">
        <f>AB11</f>
        <v>0</v>
      </c>
      <c r="AD14" s="624">
        <f t="shared" ref="AD14:AD45" si="7">AB14+AC14</f>
        <v>0</v>
      </c>
      <c r="AE14" s="1366">
        <f t="shared" ref="AE14:AE45" si="8">1-AD14</f>
        <v>1</v>
      </c>
      <c r="AG14" s="623">
        <f>((W14/W11)*AI11)</f>
        <v>200</v>
      </c>
      <c r="AH14" s="18">
        <f>IF(ISTEXT(S14),S14,IF(ISBLANK(S14),0,(S14/W11)*AI11))</f>
        <v>0</v>
      </c>
      <c r="AI14" s="17">
        <f t="shared" si="2"/>
        <v>0</v>
      </c>
      <c r="AJ14" s="1413">
        <f t="shared" si="3"/>
        <v>200</v>
      </c>
      <c r="AK14" s="646">
        <f>(W14/W11)*AM11</f>
        <v>200</v>
      </c>
      <c r="AL14" s="18">
        <f>IF(ISBLANK(S14),0,(S14/W11)*AM11)</f>
        <v>0</v>
      </c>
      <c r="AM14" s="594">
        <f t="shared" si="4"/>
        <v>0</v>
      </c>
      <c r="AN14" s="646">
        <f>AK14</f>
        <v>200</v>
      </c>
      <c r="AO14" s="715">
        <f t="shared" si="5"/>
        <v>200</v>
      </c>
      <c r="AP14" s="18">
        <f>IF(ISBLANK(S14),0,(S14/W46)*AO47)</f>
        <v>0</v>
      </c>
      <c r="AQ14" s="594">
        <f t="shared" si="6"/>
        <v>0</v>
      </c>
      <c r="AR14" s="649" t="s">
        <v>588</v>
      </c>
      <c r="AS14" s="648" t="s">
        <v>589</v>
      </c>
      <c r="AT14" s="648" t="s">
        <v>587</v>
      </c>
      <c r="AU14" s="648">
        <v>3</v>
      </c>
      <c r="AW14" s="1911" t="s">
        <v>758</v>
      </c>
      <c r="AX14" s="1912">
        <f>ROW()</f>
        <v>14</v>
      </c>
    </row>
    <row r="15" spans="1:50" ht="18.95" customHeight="1">
      <c r="A15" s="2453"/>
      <c r="B15" s="1967">
        <f>IF(D10=1,AH15,IF(D10=2,AL15,IF(D10=3,AP15,IF(D10=4,AT15))))</f>
        <v>0.8</v>
      </c>
      <c r="C15" s="1438" t="str">
        <f>IF(D10=1,AI15,IF(D10=2,AM15,IF(D10=3,AQ15,IF(D10=4,AU15))))</f>
        <v>œufs</v>
      </c>
      <c r="D15" s="1951">
        <f>IF(D10=1,AG15,IF(D10=2,AK15,IF(D10=3,AO15,IF(D10=4,AS15))))</f>
        <v>40</v>
      </c>
      <c r="E15" s="1440" t="str">
        <f>IF(D10=1,"",IF(D15=F15,"",AD15))</f>
        <v/>
      </c>
      <c r="F15" s="1952" t="str">
        <f>IF(D10=1,"",IF(D10=2,AJ15,IF(D10=3,AN15,IF(D10=4,AR15))))</f>
        <v/>
      </c>
      <c r="G15" s="22" t="str">
        <f t="shared" si="0"/>
        <v>2 œufs</v>
      </c>
      <c r="H15" s="22"/>
      <c r="I15" s="2454"/>
      <c r="J15" s="1530">
        <v>2</v>
      </c>
      <c r="K15" s="15"/>
      <c r="L15" s="15"/>
      <c r="M15" s="15"/>
      <c r="N15" s="15"/>
      <c r="O15" s="15"/>
      <c r="P15" s="15"/>
      <c r="Q15" s="2455"/>
      <c r="S15" s="1953">
        <v>2</v>
      </c>
      <c r="T15" s="1282" t="s">
        <v>80</v>
      </c>
      <c r="U15" s="1284">
        <v>50</v>
      </c>
      <c r="V15" s="19" t="s">
        <v>79</v>
      </c>
      <c r="W15" s="626">
        <f t="shared" si="1"/>
        <v>100</v>
      </c>
      <c r="X15" s="331">
        <f>(W15/W46)*X11</f>
        <v>53.191489361702125</v>
      </c>
      <c r="Y15" s="18">
        <f>IF(ISBLANK(S15),"",(S15/W46)*X11)</f>
        <v>1.0638297872340425</v>
      </c>
      <c r="Z15" s="594" t="str">
        <f>T15</f>
        <v>œufs</v>
      </c>
      <c r="AA15" s="1365">
        <f>W15/W46</f>
        <v>5.3191489361702128E-2</v>
      </c>
      <c r="AB15" s="630"/>
      <c r="AC15" s="624">
        <f>AB11</f>
        <v>0</v>
      </c>
      <c r="AD15" s="624">
        <f t="shared" si="7"/>
        <v>0</v>
      </c>
      <c r="AE15" s="1366">
        <f t="shared" si="8"/>
        <v>1</v>
      </c>
      <c r="AG15" s="623">
        <f>((W15/W11)*AI11)</f>
        <v>40</v>
      </c>
      <c r="AH15" s="18">
        <f>IF(ISTEXT(S15),S15,IF(ISBLANK(S15),0,(S15/W11)*AI11))</f>
        <v>0.8</v>
      </c>
      <c r="AI15" s="17" t="str">
        <f t="shared" si="2"/>
        <v>œufs</v>
      </c>
      <c r="AJ15" s="1413">
        <f t="shared" si="3"/>
        <v>40</v>
      </c>
      <c r="AK15" s="646">
        <f>(W15/W11)*AM11</f>
        <v>40</v>
      </c>
      <c r="AL15" s="18">
        <f>IF(ISBLANK(S15),0,(S15/W11)*AM11)</f>
        <v>0.8</v>
      </c>
      <c r="AM15" s="594" t="str">
        <f t="shared" si="4"/>
        <v>œufs</v>
      </c>
      <c r="AN15" s="646">
        <f t="shared" ref="AN15:AN45" si="9">AK15</f>
        <v>40</v>
      </c>
      <c r="AO15" s="715">
        <f t="shared" si="5"/>
        <v>40</v>
      </c>
      <c r="AP15" s="18">
        <f>IF(ISBLANK(S15),0,(S15/W46)*AO47)</f>
        <v>0.8</v>
      </c>
      <c r="AQ15" s="594" t="str">
        <f t="shared" si="6"/>
        <v>œufs</v>
      </c>
      <c r="AR15" s="649" t="s">
        <v>588</v>
      </c>
      <c r="AS15" s="648" t="s">
        <v>589</v>
      </c>
      <c r="AT15" s="648" t="s">
        <v>587</v>
      </c>
      <c r="AU15" s="648">
        <v>3</v>
      </c>
      <c r="AW15" s="1909" t="s">
        <v>758</v>
      </c>
      <c r="AX15" s="1910">
        <f>ROW()</f>
        <v>15</v>
      </c>
    </row>
    <row r="16" spans="1:50" ht="18.95" customHeight="1">
      <c r="A16" s="2453"/>
      <c r="B16" s="1967">
        <f>IF(D10=1,AH16,IF(D10=2,AL16,IF(D10=3,AP16,IF(D10=4,AT16))))</f>
        <v>0</v>
      </c>
      <c r="C16" s="1438">
        <f>IF(D10=1,AI16,IF(D10=2,AM16,IF(D10=3,AQ16,IF(D10=4,AU16))))</f>
        <v>0</v>
      </c>
      <c r="D16" s="1951">
        <f>IF(D10=1,AG16,IF(D10=2,AK16,IF(D10=3,AO16,IF(D10=4,AS16))))</f>
        <v>40</v>
      </c>
      <c r="E16" s="1440" t="str">
        <f>IF(D10=1,"",IF(D16=F16,"",AD16))</f>
        <v/>
      </c>
      <c r="F16" s="1952" t="str">
        <f>IF(D10=1,"",IF(D10=2,AJ16,IF(D10=3,AN16,IF(D10=4,AR16))))</f>
        <v/>
      </c>
      <c r="G16" s="22" t="str">
        <f t="shared" si="0"/>
        <v>100 g Noisette en poudre</v>
      </c>
      <c r="H16" s="22"/>
      <c r="I16" s="2454"/>
      <c r="J16" s="1530">
        <v>3</v>
      </c>
      <c r="K16" s="15"/>
      <c r="L16" s="15"/>
      <c r="M16" s="15"/>
      <c r="N16" s="15"/>
      <c r="O16" s="15"/>
      <c r="P16" s="15"/>
      <c r="Q16" s="2455"/>
      <c r="S16" s="1953"/>
      <c r="T16" s="1282"/>
      <c r="U16" s="1284">
        <v>100</v>
      </c>
      <c r="V16" s="19" t="s">
        <v>78</v>
      </c>
      <c r="W16" s="626">
        <f t="shared" si="1"/>
        <v>100</v>
      </c>
      <c r="X16" s="331">
        <f>(W16/W46)*X11</f>
        <v>53.191489361702125</v>
      </c>
      <c r="Y16" s="18" t="str">
        <f>IF(ISBLANK(S16),"",(S16/W46)*X11)</f>
        <v/>
      </c>
      <c r="Z16" s="594">
        <f t="shared" ref="Z16:Z45" si="10">T16</f>
        <v>0</v>
      </c>
      <c r="AA16" s="1365">
        <f>W16/W46</f>
        <v>5.3191489361702128E-2</v>
      </c>
      <c r="AB16" s="630"/>
      <c r="AC16" s="624">
        <f>AB11</f>
        <v>0</v>
      </c>
      <c r="AD16" s="624">
        <f t="shared" si="7"/>
        <v>0</v>
      </c>
      <c r="AE16" s="1366">
        <f t="shared" si="8"/>
        <v>1</v>
      </c>
      <c r="AG16" s="623">
        <f>((W16/W11)*AI11)</f>
        <v>40</v>
      </c>
      <c r="AH16" s="18">
        <f>IF(ISTEXT(S16),S16,IF(ISBLANK(S16),0,(S16/W11)*AI11))</f>
        <v>0</v>
      </c>
      <c r="AI16" s="17">
        <f t="shared" si="2"/>
        <v>0</v>
      </c>
      <c r="AJ16" s="1413">
        <f t="shared" si="3"/>
        <v>40</v>
      </c>
      <c r="AK16" s="646">
        <f>(W16/W11)*AM11</f>
        <v>40</v>
      </c>
      <c r="AL16" s="18">
        <f>IF(ISBLANK(S16),0,(S16/W11)*AM11)</f>
        <v>0</v>
      </c>
      <c r="AM16" s="594">
        <f t="shared" si="4"/>
        <v>0</v>
      </c>
      <c r="AN16" s="646">
        <f t="shared" si="9"/>
        <v>40</v>
      </c>
      <c r="AO16" s="715">
        <f t="shared" si="5"/>
        <v>40</v>
      </c>
      <c r="AP16" s="18">
        <f>IF(ISBLANK(S16),0,(S16/W46)*AO47)</f>
        <v>0</v>
      </c>
      <c r="AQ16" s="594">
        <f t="shared" si="6"/>
        <v>0</v>
      </c>
      <c r="AR16" s="649" t="s">
        <v>588</v>
      </c>
      <c r="AS16" s="648" t="s">
        <v>589</v>
      </c>
      <c r="AT16" s="648" t="s">
        <v>587</v>
      </c>
      <c r="AU16" s="648">
        <v>3</v>
      </c>
      <c r="AW16" s="1911" t="s">
        <v>758</v>
      </c>
      <c r="AX16" s="1912">
        <f>ROW()</f>
        <v>16</v>
      </c>
    </row>
    <row r="17" spans="1:50" ht="18.95" customHeight="1">
      <c r="A17" s="2453"/>
      <c r="B17" s="1967">
        <f>IF(D10=1,AH17,IF(D10=2,AL17,IF(D10=3,AP17,IF(D10=4,AT17))))</f>
        <v>0.6</v>
      </c>
      <c r="C17" s="1438" t="str">
        <f>IF(D10=1,AI17,IF(D10=2,AM17,IF(D10=3,AQ17,IF(D10=4,AU17))))</f>
        <v>banane</v>
      </c>
      <c r="D17" s="1951">
        <f>IF(D10=1,AG17,IF(D10=2,AK17,IF(D10=3,AO17,IF(D10=4,AS17))))</f>
        <v>72</v>
      </c>
      <c r="E17" s="1440" t="str">
        <f>IF(D10=1,"",IF(D17=F17,"",AD17))</f>
        <v/>
      </c>
      <c r="F17" s="1952" t="str">
        <f>IF(D10=1,"",IF(D10=2,AJ17,IF(D10=3,AN17,IF(D10=4,AR17))))</f>
        <v/>
      </c>
      <c r="G17" s="22" t="str">
        <f t="shared" si="0"/>
        <v>1  banane et demi</v>
      </c>
      <c r="H17" s="22"/>
      <c r="I17" s="2454"/>
      <c r="J17" s="1530">
        <v>4</v>
      </c>
      <c r="K17" s="15"/>
      <c r="L17" s="15"/>
      <c r="M17" s="15"/>
      <c r="N17" s="15"/>
      <c r="O17" s="15"/>
      <c r="P17" s="15"/>
      <c r="Q17" s="2455"/>
      <c r="S17" s="1953">
        <v>1.5</v>
      </c>
      <c r="T17" s="1282" t="s">
        <v>731</v>
      </c>
      <c r="U17" s="1284">
        <v>120</v>
      </c>
      <c r="V17" s="19" t="s">
        <v>2216</v>
      </c>
      <c r="W17" s="626">
        <f t="shared" si="1"/>
        <v>180</v>
      </c>
      <c r="X17" s="331">
        <f>(W17/W46)*X11</f>
        <v>95.744680851063833</v>
      </c>
      <c r="Y17" s="18">
        <f>IF(ISBLANK(S17),"",(S17/W46)*X11)</f>
        <v>0.7978723404255319</v>
      </c>
      <c r="Z17" s="594" t="str">
        <f t="shared" si="10"/>
        <v>banane</v>
      </c>
      <c r="AA17" s="1365">
        <f>W17/W46</f>
        <v>9.5744680851063829E-2</v>
      </c>
      <c r="AB17" s="630"/>
      <c r="AC17" s="624">
        <f>AB11</f>
        <v>0</v>
      </c>
      <c r="AD17" s="624">
        <f t="shared" si="7"/>
        <v>0</v>
      </c>
      <c r="AE17" s="1366">
        <f t="shared" si="8"/>
        <v>1</v>
      </c>
      <c r="AG17" s="623">
        <f>((W17/W11)*AI11)</f>
        <v>72</v>
      </c>
      <c r="AH17" s="18">
        <f>IF(ISTEXT(S17),S17,IF(ISBLANK(S17),0,(S17/W11)*AI11))</f>
        <v>0.6</v>
      </c>
      <c r="AI17" s="17" t="str">
        <f t="shared" si="2"/>
        <v>banane</v>
      </c>
      <c r="AJ17" s="1413">
        <f t="shared" si="3"/>
        <v>72</v>
      </c>
      <c r="AK17" s="646">
        <f>(W17/W11)*AM11</f>
        <v>72</v>
      </c>
      <c r="AL17" s="18">
        <f>IF(ISBLANK(S17),0,(S17/W11)*AM11)</f>
        <v>0.6</v>
      </c>
      <c r="AM17" s="594" t="str">
        <f t="shared" si="4"/>
        <v>banane</v>
      </c>
      <c r="AN17" s="646">
        <f t="shared" si="9"/>
        <v>72</v>
      </c>
      <c r="AO17" s="715">
        <f t="shared" si="5"/>
        <v>72</v>
      </c>
      <c r="AP17" s="18">
        <f>IF(ISBLANK(S17),0,(S17/W46)*AO47)</f>
        <v>0.6</v>
      </c>
      <c r="AQ17" s="594" t="str">
        <f t="shared" si="6"/>
        <v>banane</v>
      </c>
      <c r="AR17" s="649" t="s">
        <v>588</v>
      </c>
      <c r="AS17" s="648" t="s">
        <v>589</v>
      </c>
      <c r="AT17" s="648" t="s">
        <v>587</v>
      </c>
      <c r="AU17" s="648">
        <v>3</v>
      </c>
      <c r="AW17" s="1909" t="s">
        <v>758</v>
      </c>
      <c r="AX17" s="1910">
        <f>ROW()</f>
        <v>17</v>
      </c>
    </row>
    <row r="18" spans="1:50" ht="18.95" customHeight="1">
      <c r="A18" s="2453"/>
      <c r="B18" s="1967">
        <f>IF(D10=1,AH18,IF(D10=2,AL18,IF(D10=3,AP18,IF(D10=4,AT18))))</f>
        <v>0</v>
      </c>
      <c r="C18" s="1438">
        <f>IF(D10=1,AI18,IF(D10=2,AM18,IF(D10=3,AQ18,IF(D10=4,AU18))))</f>
        <v>0</v>
      </c>
      <c r="D18" s="1951">
        <f>IF(D10=1,AG18,IF(D10=2,AK18,IF(D10=3,AO18,IF(D10=4,AS18))))</f>
        <v>0</v>
      </c>
      <c r="E18" s="1440" t="str">
        <f>IF(D10=1,"",IF(D18=F18,"",AD18))</f>
        <v/>
      </c>
      <c r="F18" s="1952" t="str">
        <f>IF(D10=1,"",IF(D10=2,AJ18,IF(D10=3,AN18,IF(D10=4,AR18))))</f>
        <v/>
      </c>
      <c r="G18" s="22">
        <f t="shared" si="0"/>
        <v>0</v>
      </c>
      <c r="H18" s="22"/>
      <c r="I18" s="2454"/>
      <c r="J18" s="1530">
        <v>5</v>
      </c>
      <c r="K18" s="15"/>
      <c r="L18" s="15"/>
      <c r="M18" s="15"/>
      <c r="N18" s="15"/>
      <c r="O18" s="15"/>
      <c r="P18" s="15"/>
      <c r="Q18" s="2455"/>
      <c r="S18" s="1953"/>
      <c r="T18" s="1282"/>
      <c r="U18" s="1284"/>
      <c r="V18" s="19"/>
      <c r="W18" s="626">
        <f t="shared" si="1"/>
        <v>0</v>
      </c>
      <c r="X18" s="331">
        <f>(W18/W46)*X11</f>
        <v>0</v>
      </c>
      <c r="Y18" s="18" t="str">
        <f>IF(ISBLANK(S18),"",(S18/W46)*X11)</f>
        <v/>
      </c>
      <c r="Z18" s="594">
        <f t="shared" si="10"/>
        <v>0</v>
      </c>
      <c r="AA18" s="1365">
        <f>W18/W46</f>
        <v>0</v>
      </c>
      <c r="AB18" s="630"/>
      <c r="AC18" s="624">
        <f>AB11</f>
        <v>0</v>
      </c>
      <c r="AD18" s="624">
        <f t="shared" si="7"/>
        <v>0</v>
      </c>
      <c r="AE18" s="1366">
        <f t="shared" si="8"/>
        <v>1</v>
      </c>
      <c r="AG18" s="623">
        <f>((W18/W11)*AI11)</f>
        <v>0</v>
      </c>
      <c r="AH18" s="18">
        <f>IF(ISTEXT(S18),S18,IF(ISBLANK(S18),0,(S18/W11)*AI11))</f>
        <v>0</v>
      </c>
      <c r="AI18" s="17">
        <f t="shared" si="2"/>
        <v>0</v>
      </c>
      <c r="AJ18" s="1413">
        <f t="shared" si="3"/>
        <v>0</v>
      </c>
      <c r="AK18" s="646">
        <f>(W18/W11)*AM11</f>
        <v>0</v>
      </c>
      <c r="AL18" s="18">
        <f>IF(ISBLANK(S18),0,(S18/W11)*AM11)</f>
        <v>0</v>
      </c>
      <c r="AM18" s="594">
        <f t="shared" si="4"/>
        <v>0</v>
      </c>
      <c r="AN18" s="646">
        <f t="shared" si="9"/>
        <v>0</v>
      </c>
      <c r="AO18" s="715">
        <f t="shared" si="5"/>
        <v>0</v>
      </c>
      <c r="AP18" s="18">
        <f>IF(ISBLANK(S18),0,(S18/W46)*AO47)</f>
        <v>0</v>
      </c>
      <c r="AQ18" s="594">
        <f t="shared" si="6"/>
        <v>0</v>
      </c>
      <c r="AR18" s="649" t="s">
        <v>588</v>
      </c>
      <c r="AS18" s="648" t="s">
        <v>589</v>
      </c>
      <c r="AT18" s="648" t="s">
        <v>587</v>
      </c>
      <c r="AU18" s="648">
        <v>3</v>
      </c>
      <c r="AW18" s="1911" t="s">
        <v>758</v>
      </c>
      <c r="AX18" s="1912">
        <f>ROW()</f>
        <v>18</v>
      </c>
    </row>
    <row r="19" spans="1:50" ht="18.95" customHeight="1">
      <c r="A19" s="2453"/>
      <c r="B19" s="1967">
        <f>IF(D10=1,AH19,IF(D10=2,AL19,IF(D10=3,AP19,IF(D10=4,AT19))))</f>
        <v>0</v>
      </c>
      <c r="C19" s="1438">
        <f>IF(D10=1,AI19,IF(D10=2,AM19,IF(D10=3,AQ19,IF(D10=4,AU19))))</f>
        <v>0</v>
      </c>
      <c r="D19" s="1951">
        <f>IF(D10=1,AG19,IF(D10=2,AK19,IF(D10=3,AO19,IF(D10=4,AS19))))</f>
        <v>0</v>
      </c>
      <c r="E19" s="1440" t="str">
        <f>IF(D10=1,"",IF(D19=F19,"",AD19))</f>
        <v/>
      </c>
      <c r="F19" s="1952" t="str">
        <f>IF(D10=1,"",IF(D10=2,AJ19,IF(D10=3,AN19,IF(D10=4,AR19))))</f>
        <v/>
      </c>
      <c r="G19" s="22">
        <f t="shared" si="0"/>
        <v>0</v>
      </c>
      <c r="H19" s="22"/>
      <c r="I19" s="2454"/>
      <c r="J19" s="1530">
        <v>6</v>
      </c>
      <c r="K19" s="15"/>
      <c r="L19" s="15"/>
      <c r="M19" s="15"/>
      <c r="N19" s="15"/>
      <c r="O19" s="15"/>
      <c r="P19" s="15"/>
      <c r="Q19" s="2455"/>
      <c r="S19" s="1953"/>
      <c r="T19" s="1282"/>
      <c r="U19" s="1284"/>
      <c r="V19" s="19"/>
      <c r="W19" s="626">
        <f t="shared" si="1"/>
        <v>0</v>
      </c>
      <c r="X19" s="331">
        <f>(W19/W46)*X11</f>
        <v>0</v>
      </c>
      <c r="Y19" s="18" t="str">
        <f>IF(ISBLANK(S19),"",(S19/W46)*X11)</f>
        <v/>
      </c>
      <c r="Z19" s="594">
        <f t="shared" si="10"/>
        <v>0</v>
      </c>
      <c r="AA19" s="1365">
        <f>W19/W46</f>
        <v>0</v>
      </c>
      <c r="AB19" s="630"/>
      <c r="AC19" s="624">
        <f>AB11</f>
        <v>0</v>
      </c>
      <c r="AD19" s="624">
        <f t="shared" si="7"/>
        <v>0</v>
      </c>
      <c r="AE19" s="1366">
        <f t="shared" si="8"/>
        <v>1</v>
      </c>
      <c r="AG19" s="623">
        <f>((W19/W11)*AI11)</f>
        <v>0</v>
      </c>
      <c r="AH19" s="18">
        <f>IF(ISTEXT(S19),S19,IF(ISBLANK(S19),0,(S19/W11)*AI11))</f>
        <v>0</v>
      </c>
      <c r="AI19" s="17">
        <f t="shared" si="2"/>
        <v>0</v>
      </c>
      <c r="AJ19" s="1413">
        <f t="shared" si="3"/>
        <v>0</v>
      </c>
      <c r="AK19" s="646">
        <f>(W19/W11)*AM11</f>
        <v>0</v>
      </c>
      <c r="AL19" s="18">
        <f>IF(ISBLANK(S19),0,(S19/W11)*AM11)</f>
        <v>0</v>
      </c>
      <c r="AM19" s="594">
        <f t="shared" si="4"/>
        <v>0</v>
      </c>
      <c r="AN19" s="646">
        <f t="shared" si="9"/>
        <v>0</v>
      </c>
      <c r="AO19" s="715">
        <f t="shared" si="5"/>
        <v>0</v>
      </c>
      <c r="AP19" s="18">
        <f>IF(ISBLANK(S19),0,(S19/W46)*AO47)</f>
        <v>0</v>
      </c>
      <c r="AQ19" s="594">
        <f t="shared" si="6"/>
        <v>0</v>
      </c>
      <c r="AR19" s="649" t="s">
        <v>588</v>
      </c>
      <c r="AS19" s="648" t="s">
        <v>589</v>
      </c>
      <c r="AT19" s="648" t="s">
        <v>587</v>
      </c>
      <c r="AU19" s="648">
        <v>3</v>
      </c>
      <c r="AW19" s="1909" t="s">
        <v>758</v>
      </c>
      <c r="AX19" s="1910">
        <f>ROW()</f>
        <v>19</v>
      </c>
    </row>
    <row r="20" spans="1:50" ht="18.95" customHeight="1">
      <c r="A20" s="2453"/>
      <c r="B20" s="1967">
        <f>IF(D10=1,AH20,IF(D10=2,AL20,IF(D10=3,AP20,IF(D10=4,AT20))))</f>
        <v>0</v>
      </c>
      <c r="C20" s="1438">
        <f>IF(D10=1,AI20,IF(D10=2,AM20,IF(D10=3,AQ20,IF(D10=4,AU20))))</f>
        <v>0</v>
      </c>
      <c r="D20" s="1951">
        <f>IF(D10=1,AG20,IF(D10=2,AK20,IF(D10=3,AO20,IF(D10=4,AS20))))</f>
        <v>0</v>
      </c>
      <c r="E20" s="1440" t="str">
        <f>IF(D10=1,"",IF(D20=F20,"",AD20))</f>
        <v/>
      </c>
      <c r="F20" s="1952" t="str">
        <f>IF(D10=1,"",IF(D10=2,AJ20,IF(D10=3,AN20,IF(D10=4,AR20))))</f>
        <v/>
      </c>
      <c r="G20" s="22">
        <f t="shared" si="0"/>
        <v>0</v>
      </c>
      <c r="H20" s="22"/>
      <c r="I20" s="2454"/>
      <c r="J20" s="1530">
        <v>7</v>
      </c>
      <c r="K20" s="15"/>
      <c r="L20" s="15"/>
      <c r="M20" s="15"/>
      <c r="N20" s="15"/>
      <c r="O20" s="15"/>
      <c r="P20" s="15"/>
      <c r="Q20" s="2455"/>
      <c r="S20" s="1953"/>
      <c r="T20" s="1282"/>
      <c r="U20" s="1284"/>
      <c r="V20" s="19"/>
      <c r="W20" s="626">
        <f t="shared" si="1"/>
        <v>0</v>
      </c>
      <c r="X20" s="331">
        <f>(W20/W46)*X11</f>
        <v>0</v>
      </c>
      <c r="Y20" s="18" t="str">
        <f>IF(ISBLANK(S20),"",(S20/W46)*X11)</f>
        <v/>
      </c>
      <c r="Z20" s="594">
        <f t="shared" si="10"/>
        <v>0</v>
      </c>
      <c r="AA20" s="1365">
        <f>W20/W46</f>
        <v>0</v>
      </c>
      <c r="AB20" s="630"/>
      <c r="AC20" s="624">
        <f>AB11</f>
        <v>0</v>
      </c>
      <c r="AD20" s="624">
        <f t="shared" si="7"/>
        <v>0</v>
      </c>
      <c r="AE20" s="1366">
        <f t="shared" si="8"/>
        <v>1</v>
      </c>
      <c r="AG20" s="623">
        <f>((W20/W11)*AI11)</f>
        <v>0</v>
      </c>
      <c r="AH20" s="18">
        <f>IF(ISTEXT(S20),S20,IF(ISBLANK(S20),0,(S20/W11)*AI11))</f>
        <v>0</v>
      </c>
      <c r="AI20" s="17">
        <f t="shared" si="2"/>
        <v>0</v>
      </c>
      <c r="AJ20" s="1413">
        <f t="shared" si="3"/>
        <v>0</v>
      </c>
      <c r="AK20" s="646">
        <f>(W20/W11)*AM11</f>
        <v>0</v>
      </c>
      <c r="AL20" s="18">
        <f>IF(ISBLANK(S20),0,(S20/W11)*AM11)</f>
        <v>0</v>
      </c>
      <c r="AM20" s="594">
        <f t="shared" si="4"/>
        <v>0</v>
      </c>
      <c r="AN20" s="646">
        <f t="shared" si="9"/>
        <v>0</v>
      </c>
      <c r="AO20" s="715">
        <f t="shared" si="5"/>
        <v>0</v>
      </c>
      <c r="AP20" s="18">
        <f>IF(ISBLANK(S20),0,(S20/W46)*AO47)</f>
        <v>0</v>
      </c>
      <c r="AQ20" s="594">
        <f t="shared" si="6"/>
        <v>0</v>
      </c>
      <c r="AR20" s="649" t="s">
        <v>588</v>
      </c>
      <c r="AS20" s="648" t="s">
        <v>589</v>
      </c>
      <c r="AT20" s="648" t="s">
        <v>587</v>
      </c>
      <c r="AU20" s="648">
        <v>3</v>
      </c>
      <c r="AW20" s="1911" t="s">
        <v>758</v>
      </c>
      <c r="AX20" s="1912">
        <f>ROW()</f>
        <v>20</v>
      </c>
    </row>
    <row r="21" spans="1:50" ht="18.95" customHeight="1">
      <c r="A21" s="2453"/>
      <c r="B21" s="1967">
        <f>IF(D10=1,AH21,IF(D10=2,AL21,IF(D10=3,AP21,IF(D10=4,AT21))))</f>
        <v>0</v>
      </c>
      <c r="C21" s="1438">
        <f>IF(D10=1,AI21,IF(D10=2,AM21,IF(D10=3,AQ21,IF(D10=4,AU21))))</f>
        <v>0</v>
      </c>
      <c r="D21" s="1951">
        <f>IF(D10=1,AG21,IF(D10=2,AK21,IF(D10=3,AO21,IF(D10=4,AS21))))</f>
        <v>0</v>
      </c>
      <c r="E21" s="1440" t="str">
        <f>IF(D10=1,"",IF(D21=F21,"",AD21))</f>
        <v/>
      </c>
      <c r="F21" s="1952" t="str">
        <f>IF(D10=1,"",IF(D10=2,AJ21,IF(D10=3,AN21,IF(D10=4,AR21))))</f>
        <v/>
      </c>
      <c r="G21" s="22">
        <f t="shared" si="0"/>
        <v>0</v>
      </c>
      <c r="H21" s="22"/>
      <c r="I21" s="2454"/>
      <c r="J21" s="1530">
        <v>8</v>
      </c>
      <c r="K21" s="15"/>
      <c r="L21" s="15"/>
      <c r="M21" s="15"/>
      <c r="N21" s="15"/>
      <c r="O21" s="15"/>
      <c r="P21" s="15"/>
      <c r="Q21" s="2455"/>
      <c r="S21" s="1953"/>
      <c r="T21" s="1282"/>
      <c r="U21" s="1284"/>
      <c r="V21" s="19"/>
      <c r="W21" s="626">
        <f t="shared" si="1"/>
        <v>0</v>
      </c>
      <c r="X21" s="331">
        <f>(W21/W46)*X11</f>
        <v>0</v>
      </c>
      <c r="Y21" s="18" t="str">
        <f>IF(ISBLANK(S21),"",(S21/W46)*X11)</f>
        <v/>
      </c>
      <c r="Z21" s="594">
        <f t="shared" si="10"/>
        <v>0</v>
      </c>
      <c r="AA21" s="1365">
        <f>W21/W46</f>
        <v>0</v>
      </c>
      <c r="AB21" s="630"/>
      <c r="AC21" s="624">
        <f>AB11</f>
        <v>0</v>
      </c>
      <c r="AD21" s="624">
        <f t="shared" si="7"/>
        <v>0</v>
      </c>
      <c r="AE21" s="1366">
        <f t="shared" si="8"/>
        <v>1</v>
      </c>
      <c r="AG21" s="623">
        <f>((W21/W11)*AI11)</f>
        <v>0</v>
      </c>
      <c r="AH21" s="18">
        <f>IF(ISTEXT(S21),S21,IF(ISBLANK(S21),0,(S21/W11)*AI11))</f>
        <v>0</v>
      </c>
      <c r="AI21" s="17">
        <f t="shared" si="2"/>
        <v>0</v>
      </c>
      <c r="AJ21" s="1413">
        <f t="shared" si="3"/>
        <v>0</v>
      </c>
      <c r="AK21" s="646">
        <f>(W21/W11)*AM11</f>
        <v>0</v>
      </c>
      <c r="AL21" s="18">
        <f>IF(ISBLANK(S21),0,(S21/W11)*AM11)</f>
        <v>0</v>
      </c>
      <c r="AM21" s="594">
        <f t="shared" si="4"/>
        <v>0</v>
      </c>
      <c r="AN21" s="646">
        <f t="shared" si="9"/>
        <v>0</v>
      </c>
      <c r="AO21" s="715">
        <f t="shared" si="5"/>
        <v>0</v>
      </c>
      <c r="AP21" s="18">
        <f>IF(ISBLANK(S21),0,(S21/W46)*AO47)</f>
        <v>0</v>
      </c>
      <c r="AQ21" s="594">
        <f t="shared" si="6"/>
        <v>0</v>
      </c>
      <c r="AR21" s="649" t="s">
        <v>588</v>
      </c>
      <c r="AS21" s="648" t="s">
        <v>589</v>
      </c>
      <c r="AT21" s="648" t="s">
        <v>587</v>
      </c>
      <c r="AU21" s="648">
        <v>3</v>
      </c>
      <c r="AW21" s="1909" t="s">
        <v>758</v>
      </c>
      <c r="AX21" s="1910">
        <f>ROW()</f>
        <v>21</v>
      </c>
    </row>
    <row r="22" spans="1:50" ht="18.95" customHeight="1">
      <c r="A22" s="2453"/>
      <c r="B22" s="1967">
        <f>IF(D10=1,AH22,IF(D10=2,AL22,IF(D10=3,AP22,IF(D10=4,AT22))))</f>
        <v>0</v>
      </c>
      <c r="C22" s="1438">
        <f>IF(D10=1,AI22,IF(D10=2,AM22,IF(D10=3,AQ22,IF(D10=4,AU22))))</f>
        <v>0</v>
      </c>
      <c r="D22" s="1951">
        <f>IF(D10=1,AG22,IF(D10=2,AK22,IF(D10=3,AO22,IF(D10=4,AS22))))</f>
        <v>0</v>
      </c>
      <c r="E22" s="1440" t="str">
        <f>IF(D10=1,"",IF(D22=F22,"",AD22))</f>
        <v/>
      </c>
      <c r="F22" s="1952" t="str">
        <f>IF(D10=1,"",IF(D10=2,AJ22,IF(D10=3,AN22,IF(D10=4,AR22))))</f>
        <v/>
      </c>
      <c r="G22" s="22">
        <f t="shared" si="0"/>
        <v>0</v>
      </c>
      <c r="H22" s="22"/>
      <c r="I22" s="2454"/>
      <c r="J22" s="1530">
        <v>9</v>
      </c>
      <c r="K22" s="15"/>
      <c r="L22" s="15"/>
      <c r="M22" s="15"/>
      <c r="N22" s="15"/>
      <c r="O22" s="15"/>
      <c r="P22" s="15"/>
      <c r="Q22" s="2455"/>
      <c r="S22" s="1953"/>
      <c r="T22" s="1282"/>
      <c r="U22" s="1284"/>
      <c r="V22" s="19"/>
      <c r="W22" s="626">
        <f t="shared" si="1"/>
        <v>0</v>
      </c>
      <c r="X22" s="331">
        <f>(W22/W46)*X11</f>
        <v>0</v>
      </c>
      <c r="Y22" s="18" t="str">
        <f>IF(ISBLANK(S22),"",(S22/W46)*X11)</f>
        <v/>
      </c>
      <c r="Z22" s="594">
        <f t="shared" si="10"/>
        <v>0</v>
      </c>
      <c r="AA22" s="1365">
        <f>W22/W46</f>
        <v>0</v>
      </c>
      <c r="AB22" s="630"/>
      <c r="AC22" s="624">
        <f>AB11</f>
        <v>0</v>
      </c>
      <c r="AD22" s="624">
        <f t="shared" si="7"/>
        <v>0</v>
      </c>
      <c r="AE22" s="1366">
        <f t="shared" si="8"/>
        <v>1</v>
      </c>
      <c r="AG22" s="623">
        <f>((W22/W11)*AI11)</f>
        <v>0</v>
      </c>
      <c r="AH22" s="18">
        <f>IF(ISTEXT(S22),S22,IF(ISBLANK(S22),0,(S22/W11)*AI11))</f>
        <v>0</v>
      </c>
      <c r="AI22" s="17">
        <f t="shared" si="2"/>
        <v>0</v>
      </c>
      <c r="AJ22" s="1413">
        <f t="shared" si="3"/>
        <v>0</v>
      </c>
      <c r="AK22" s="646">
        <f>(W22/W11)*AM11</f>
        <v>0</v>
      </c>
      <c r="AL22" s="18">
        <f>IF(ISBLANK(S22),0,(S22/W11)*AM11)</f>
        <v>0</v>
      </c>
      <c r="AM22" s="594">
        <f t="shared" si="4"/>
        <v>0</v>
      </c>
      <c r="AN22" s="646">
        <f t="shared" si="9"/>
        <v>0</v>
      </c>
      <c r="AO22" s="715">
        <f t="shared" si="5"/>
        <v>0</v>
      </c>
      <c r="AP22" s="18">
        <f>IF(ISBLANK(S22),0,(S22/W46)*AO47)</f>
        <v>0</v>
      </c>
      <c r="AQ22" s="594">
        <f t="shared" si="6"/>
        <v>0</v>
      </c>
      <c r="AR22" s="649" t="s">
        <v>588</v>
      </c>
      <c r="AS22" s="648" t="s">
        <v>589</v>
      </c>
      <c r="AT22" s="648" t="s">
        <v>587</v>
      </c>
      <c r="AU22" s="648">
        <v>3</v>
      </c>
      <c r="AW22" s="1911" t="s">
        <v>758</v>
      </c>
      <c r="AX22" s="1912">
        <f>ROW()</f>
        <v>22</v>
      </c>
    </row>
    <row r="23" spans="1:50" ht="18.95" customHeight="1">
      <c r="A23" s="2453"/>
      <c r="B23" s="1967">
        <f>IF(D10=1,AH23,IF(D10=2,AL23,IF(D10=3,AP23,IF(D10=4,AT23))))</f>
        <v>0</v>
      </c>
      <c r="C23" s="1438">
        <f>IF(D10=1,AI23,IF(D10=2,AM23,IF(D10=3,AQ23,IF(D10=4,AU23))))</f>
        <v>0</v>
      </c>
      <c r="D23" s="1951">
        <f>IF(D10=1,AG23,IF(D10=2,AK23,IF(D10=3,AO23,IF(D10=4,AS23))))</f>
        <v>0</v>
      </c>
      <c r="E23" s="1440" t="str">
        <f>IF(D10=1,"",IF(D23=F23,"",AD23))</f>
        <v/>
      </c>
      <c r="F23" s="1952" t="str">
        <f>IF(D10=1,"",IF(D10=2,AJ23,IF(D10=3,AN23,IF(D10=4,AR23))))</f>
        <v/>
      </c>
      <c r="G23" s="22">
        <f t="shared" si="0"/>
        <v>0</v>
      </c>
      <c r="H23" s="22"/>
      <c r="I23" s="2454"/>
      <c r="J23" s="1530">
        <v>10</v>
      </c>
      <c r="K23" s="15"/>
      <c r="L23" s="15"/>
      <c r="M23" s="15"/>
      <c r="N23" s="15"/>
      <c r="O23" s="15"/>
      <c r="P23" s="15"/>
      <c r="Q23" s="2455"/>
      <c r="S23" s="1953"/>
      <c r="T23" s="1282"/>
      <c r="U23" s="1284"/>
      <c r="V23" s="19"/>
      <c r="W23" s="626">
        <f t="shared" si="1"/>
        <v>0</v>
      </c>
      <c r="X23" s="331">
        <f>(W23/W46)*X11</f>
        <v>0</v>
      </c>
      <c r="Y23" s="18" t="str">
        <f>IF(ISBLANK(S23),"",(S23/W46)*X11)</f>
        <v/>
      </c>
      <c r="Z23" s="594">
        <f t="shared" si="10"/>
        <v>0</v>
      </c>
      <c r="AA23" s="1365">
        <f>W23/W46</f>
        <v>0</v>
      </c>
      <c r="AB23" s="630"/>
      <c r="AC23" s="624">
        <f>AB11</f>
        <v>0</v>
      </c>
      <c r="AD23" s="624">
        <f t="shared" si="7"/>
        <v>0</v>
      </c>
      <c r="AE23" s="1366">
        <f t="shared" si="8"/>
        <v>1</v>
      </c>
      <c r="AG23" s="623">
        <f>((W23/W11)*AI11)</f>
        <v>0</v>
      </c>
      <c r="AH23" s="18">
        <f>IF(ISTEXT(S23),S23,IF(ISBLANK(S23),0,(S23/W11)*AI11))</f>
        <v>0</v>
      </c>
      <c r="AI23" s="17">
        <f t="shared" si="2"/>
        <v>0</v>
      </c>
      <c r="AJ23" s="1413">
        <f t="shared" si="3"/>
        <v>0</v>
      </c>
      <c r="AK23" s="646">
        <f>(W23/W11)*AM11</f>
        <v>0</v>
      </c>
      <c r="AL23" s="18">
        <f>IF(ISBLANK(S23),0,(S23/W11)*AM11)</f>
        <v>0</v>
      </c>
      <c r="AM23" s="594">
        <f t="shared" si="4"/>
        <v>0</v>
      </c>
      <c r="AN23" s="646">
        <f t="shared" si="9"/>
        <v>0</v>
      </c>
      <c r="AO23" s="715">
        <f t="shared" si="5"/>
        <v>0</v>
      </c>
      <c r="AP23" s="18">
        <f>IF(ISBLANK(S23),0,(S23/W46)*AO47)</f>
        <v>0</v>
      </c>
      <c r="AQ23" s="594">
        <f t="shared" si="6"/>
        <v>0</v>
      </c>
      <c r="AR23" s="649" t="s">
        <v>588</v>
      </c>
      <c r="AS23" s="648" t="s">
        <v>589</v>
      </c>
      <c r="AT23" s="648" t="s">
        <v>587</v>
      </c>
      <c r="AU23" s="648">
        <v>3</v>
      </c>
      <c r="AW23" s="1909" t="s">
        <v>758</v>
      </c>
      <c r="AX23" s="1910">
        <f>ROW()</f>
        <v>23</v>
      </c>
    </row>
    <row r="24" spans="1:50" ht="18.95" customHeight="1">
      <c r="A24" s="2453"/>
      <c r="B24" s="1967">
        <f>IF(D10=1,AH24,IF(D10=2,AL24,IF(D10=3,AP24,IF(D10=4,AT24))))</f>
        <v>0</v>
      </c>
      <c r="C24" s="1438">
        <f>IF(D10=1,AI24,IF(D10=2,AM24,IF(D10=3,AQ24,IF(D10=4,AU24))))</f>
        <v>0</v>
      </c>
      <c r="D24" s="1951">
        <f>IF(D10=1,AG24,IF(D10=2,AK24,IF(D10=3,AO24,IF(D10=4,AS24))))</f>
        <v>0</v>
      </c>
      <c r="E24" s="1440" t="str">
        <f>IF(D10=1,"",IF(D24=F24,"",AD24))</f>
        <v/>
      </c>
      <c r="F24" s="1952" t="str">
        <f>IF(D10=1,"",IF(D10=2,AJ24,IF(D10=3,AN24,IF(D10=4,AR24))))</f>
        <v/>
      </c>
      <c r="G24" s="22">
        <f t="shared" si="0"/>
        <v>0</v>
      </c>
      <c r="H24" s="22"/>
      <c r="I24" s="2454"/>
      <c r="J24" s="1530">
        <v>11</v>
      </c>
      <c r="K24" s="15"/>
      <c r="L24" s="15"/>
      <c r="M24" s="15"/>
      <c r="N24" s="15"/>
      <c r="O24" s="15"/>
      <c r="P24" s="15"/>
      <c r="Q24" s="2455"/>
      <c r="S24" s="1953"/>
      <c r="T24" s="1282"/>
      <c r="U24" s="1284"/>
      <c r="V24" s="19"/>
      <c r="W24" s="626">
        <f t="shared" si="1"/>
        <v>0</v>
      </c>
      <c r="X24" s="331">
        <f>(W24/W46)*X11</f>
        <v>0</v>
      </c>
      <c r="Y24" s="18" t="str">
        <f>IF(ISBLANK(S24),"",(S24/W46)*X11)</f>
        <v/>
      </c>
      <c r="Z24" s="594">
        <f t="shared" si="10"/>
        <v>0</v>
      </c>
      <c r="AA24" s="1365">
        <f>W24/W46</f>
        <v>0</v>
      </c>
      <c r="AB24" s="630"/>
      <c r="AC24" s="624">
        <f>AB11</f>
        <v>0</v>
      </c>
      <c r="AD24" s="624">
        <f t="shared" si="7"/>
        <v>0</v>
      </c>
      <c r="AE24" s="1366">
        <f t="shared" si="8"/>
        <v>1</v>
      </c>
      <c r="AG24" s="623">
        <f>((W24/W11)*AI11)</f>
        <v>0</v>
      </c>
      <c r="AH24" s="18">
        <f>IF(ISTEXT(S24),S24,IF(ISBLANK(S24),0,(S24/W11)*AI11))</f>
        <v>0</v>
      </c>
      <c r="AI24" s="17">
        <f t="shared" si="2"/>
        <v>0</v>
      </c>
      <c r="AJ24" s="1413">
        <f t="shared" si="3"/>
        <v>0</v>
      </c>
      <c r="AK24" s="646">
        <f>(W24/W11)*AM11</f>
        <v>0</v>
      </c>
      <c r="AL24" s="18">
        <f>IF(ISBLANK(S24),0,(S24/W11)*AM11)</f>
        <v>0</v>
      </c>
      <c r="AM24" s="594">
        <f t="shared" si="4"/>
        <v>0</v>
      </c>
      <c r="AN24" s="646">
        <f t="shared" si="9"/>
        <v>0</v>
      </c>
      <c r="AO24" s="715">
        <f t="shared" si="5"/>
        <v>0</v>
      </c>
      <c r="AP24" s="18">
        <f>IF(ISBLANK(S24),0,(S24/W46)*AO47)</f>
        <v>0</v>
      </c>
      <c r="AQ24" s="594">
        <f t="shared" si="6"/>
        <v>0</v>
      </c>
      <c r="AR24" s="649" t="s">
        <v>588</v>
      </c>
      <c r="AS24" s="648" t="s">
        <v>589</v>
      </c>
      <c r="AT24" s="648" t="s">
        <v>587</v>
      </c>
      <c r="AU24" s="648">
        <v>3</v>
      </c>
      <c r="AW24" s="1911" t="s">
        <v>758</v>
      </c>
      <c r="AX24" s="1912">
        <f>ROW()</f>
        <v>24</v>
      </c>
    </row>
    <row r="25" spans="1:50" ht="18.95" customHeight="1">
      <c r="A25" s="2453"/>
      <c r="B25" s="1967">
        <f>IF(D10=1,AH25,IF(D10=2,AL25,IF(D10=3,AP25,IF(D10=4,AT25))))</f>
        <v>0</v>
      </c>
      <c r="C25" s="1438">
        <f>IF(D10=1,AI25,IF(D10=2,AM25,IF(D10=3,AQ25,IF(D10=4,AU25))))</f>
        <v>0</v>
      </c>
      <c r="D25" s="1951">
        <f>IF(D10=1,AG25,IF(D10=2,AK25,IF(D10=3,AO25,IF(D10=4,AS25))))</f>
        <v>0</v>
      </c>
      <c r="E25" s="1440" t="str">
        <f>IF(D10=1,"",IF(D25=F25,"",AD25))</f>
        <v/>
      </c>
      <c r="F25" s="1952" t="str">
        <f>IF(D10=1,"",IF(D10=2,AJ25,IF(D10=3,AN25,IF(D10=4,AR25))))</f>
        <v/>
      </c>
      <c r="G25" s="22">
        <f t="shared" si="0"/>
        <v>0</v>
      </c>
      <c r="H25" s="22"/>
      <c r="I25" s="2454"/>
      <c r="J25" s="1530">
        <v>12</v>
      </c>
      <c r="K25" s="15"/>
      <c r="L25" s="15"/>
      <c r="M25" s="15"/>
      <c r="N25" s="15"/>
      <c r="O25" s="15"/>
      <c r="P25" s="15"/>
      <c r="Q25" s="2455"/>
      <c r="S25" s="1953"/>
      <c r="T25" s="1282"/>
      <c r="U25" s="1284"/>
      <c r="V25" s="19"/>
      <c r="W25" s="626">
        <f t="shared" si="1"/>
        <v>0</v>
      </c>
      <c r="X25" s="331">
        <f>(W25/W46)*X11</f>
        <v>0</v>
      </c>
      <c r="Y25" s="18" t="str">
        <f>IF(ISBLANK(S25),"",(S25/W46)*X11)</f>
        <v/>
      </c>
      <c r="Z25" s="594">
        <f t="shared" si="10"/>
        <v>0</v>
      </c>
      <c r="AA25" s="1365">
        <f>W25/W46</f>
        <v>0</v>
      </c>
      <c r="AB25" s="630"/>
      <c r="AC25" s="624">
        <f>AB11</f>
        <v>0</v>
      </c>
      <c r="AD25" s="624">
        <f t="shared" si="7"/>
        <v>0</v>
      </c>
      <c r="AE25" s="1366">
        <f t="shared" si="8"/>
        <v>1</v>
      </c>
      <c r="AG25" s="623">
        <f>((W25/W11)*AI11)</f>
        <v>0</v>
      </c>
      <c r="AH25" s="18">
        <f>IF(ISTEXT(S25),S25,IF(ISBLANK(S25),0,(S25/W11)*AI11))</f>
        <v>0</v>
      </c>
      <c r="AI25" s="17">
        <f t="shared" si="2"/>
        <v>0</v>
      </c>
      <c r="AJ25" s="1413">
        <f t="shared" si="3"/>
        <v>0</v>
      </c>
      <c r="AK25" s="646">
        <f>(W25/W11)*AM11</f>
        <v>0</v>
      </c>
      <c r="AL25" s="18">
        <f>IF(ISBLANK(S25),0,(S25/W11)*AM11)</f>
        <v>0</v>
      </c>
      <c r="AM25" s="594">
        <f t="shared" si="4"/>
        <v>0</v>
      </c>
      <c r="AN25" s="646">
        <f t="shared" si="9"/>
        <v>0</v>
      </c>
      <c r="AO25" s="715">
        <f t="shared" si="5"/>
        <v>0</v>
      </c>
      <c r="AP25" s="18">
        <f>IF(ISBLANK(S25),0,(S25/W46)*AO47)</f>
        <v>0</v>
      </c>
      <c r="AQ25" s="594">
        <f t="shared" si="6"/>
        <v>0</v>
      </c>
      <c r="AR25" s="649" t="s">
        <v>588</v>
      </c>
      <c r="AS25" s="648" t="s">
        <v>589</v>
      </c>
      <c r="AT25" s="648" t="s">
        <v>587</v>
      </c>
      <c r="AU25" s="648">
        <v>3</v>
      </c>
      <c r="AW25" s="1909" t="s">
        <v>758</v>
      </c>
      <c r="AX25" s="1910">
        <f>ROW()</f>
        <v>25</v>
      </c>
    </row>
    <row r="26" spans="1:50" ht="18.95" customHeight="1">
      <c r="A26" s="2453"/>
      <c r="B26" s="1967">
        <f>IF(D10=1,AH26,IF(D10=2,AL26,IF(D10=3,AP26,IF(D10=4,AT26))))</f>
        <v>0</v>
      </c>
      <c r="C26" s="1438">
        <f>IF(D10=1,AI26,IF(D10=2,AM26,IF(D10=3,AQ26,IF(D10=4,AU26))))</f>
        <v>0</v>
      </c>
      <c r="D26" s="1951">
        <f>IF(D10=1,AG26,IF(D10=2,AK26,IF(D10=3,AO26,IF(D10=4,AS26))))</f>
        <v>0</v>
      </c>
      <c r="E26" s="1440" t="str">
        <f>IF(D10=1,"",IF(D26=F26,"",AD26))</f>
        <v/>
      </c>
      <c r="F26" s="1952" t="str">
        <f>IF(D10=1,"",IF(D10=2,AJ26,IF(D10=3,AN26,IF(D10=4,AR26))))</f>
        <v/>
      </c>
      <c r="G26" s="22">
        <f t="shared" si="0"/>
        <v>0</v>
      </c>
      <c r="H26" s="22"/>
      <c r="I26" s="2454"/>
      <c r="J26" s="1530">
        <v>13</v>
      </c>
      <c r="K26" s="15"/>
      <c r="L26" s="15"/>
      <c r="M26" s="15"/>
      <c r="N26" s="15"/>
      <c r="O26" s="15"/>
      <c r="P26" s="15"/>
      <c r="Q26" s="2455"/>
      <c r="S26" s="1953"/>
      <c r="T26" s="1282"/>
      <c r="U26" s="1284"/>
      <c r="V26" s="19"/>
      <c r="W26" s="626">
        <f t="shared" si="1"/>
        <v>0</v>
      </c>
      <c r="X26" s="331">
        <f>(W26/W46)*X11</f>
        <v>0</v>
      </c>
      <c r="Y26" s="18" t="str">
        <f>IF(ISBLANK(S26),"",(S26/W46)*X11)</f>
        <v/>
      </c>
      <c r="Z26" s="594">
        <f t="shared" si="10"/>
        <v>0</v>
      </c>
      <c r="AA26" s="1365">
        <f>W26/W46</f>
        <v>0</v>
      </c>
      <c r="AB26" s="630"/>
      <c r="AC26" s="624">
        <f>AB11</f>
        <v>0</v>
      </c>
      <c r="AD26" s="624">
        <f t="shared" si="7"/>
        <v>0</v>
      </c>
      <c r="AE26" s="1366">
        <f t="shared" si="8"/>
        <v>1</v>
      </c>
      <c r="AG26" s="623">
        <f>((W26/W11)*AI11)</f>
        <v>0</v>
      </c>
      <c r="AH26" s="18">
        <f>IF(ISTEXT(S26),S26,IF(ISBLANK(S26),0,(S26/W11)*AI11))</f>
        <v>0</v>
      </c>
      <c r="AI26" s="17">
        <f t="shared" si="2"/>
        <v>0</v>
      </c>
      <c r="AJ26" s="1413">
        <f t="shared" si="3"/>
        <v>0</v>
      </c>
      <c r="AK26" s="646">
        <f>(W26/W11)*AM11</f>
        <v>0</v>
      </c>
      <c r="AL26" s="18">
        <f>IF(ISBLANK(S26),0,(S26/W11)*AM11)</f>
        <v>0</v>
      </c>
      <c r="AM26" s="594">
        <f t="shared" si="4"/>
        <v>0</v>
      </c>
      <c r="AN26" s="646">
        <f t="shared" si="9"/>
        <v>0</v>
      </c>
      <c r="AO26" s="715">
        <f t="shared" si="5"/>
        <v>0</v>
      </c>
      <c r="AP26" s="18">
        <f>IF(ISBLANK(S26),0,(S26/W46)*AO47)</f>
        <v>0</v>
      </c>
      <c r="AQ26" s="594">
        <f t="shared" si="6"/>
        <v>0</v>
      </c>
      <c r="AR26" s="649" t="s">
        <v>588</v>
      </c>
      <c r="AS26" s="648" t="s">
        <v>589</v>
      </c>
      <c r="AT26" s="648" t="s">
        <v>587</v>
      </c>
      <c r="AU26" s="648">
        <v>3</v>
      </c>
      <c r="AW26" s="1911" t="s">
        <v>758</v>
      </c>
      <c r="AX26" s="1912">
        <f>ROW()</f>
        <v>26</v>
      </c>
    </row>
    <row r="27" spans="1:50" ht="18.95" customHeight="1">
      <c r="A27" s="2453"/>
      <c r="B27" s="1967">
        <f>IF(D10=1,AH27,IF(D10=2,AL27,IF(D10=3,AP27,IF(D10=4,AT27))))</f>
        <v>0</v>
      </c>
      <c r="C27" s="1438">
        <f>IF(D10=1,AI27,IF(D10=2,AM27,IF(D10=3,AQ27,IF(D10=4,AU27))))</f>
        <v>0</v>
      </c>
      <c r="D27" s="1951">
        <f>IF(D10=1,AG27,IF(D10=2,AK27,IF(D10=3,AO27,IF(D10=4,AS27))))</f>
        <v>0</v>
      </c>
      <c r="E27" s="1440" t="str">
        <f>IF(D10=1,"",IF(D27=F27,"",AD27))</f>
        <v/>
      </c>
      <c r="F27" s="1952" t="str">
        <f>IF(D10=1,"",IF(D10=2,AJ27,IF(D10=3,AN27,IF(D10=4,AR27))))</f>
        <v/>
      </c>
      <c r="G27" s="22">
        <f t="shared" si="0"/>
        <v>0</v>
      </c>
      <c r="H27" s="22"/>
      <c r="I27" s="2454"/>
      <c r="J27" s="1530">
        <v>14</v>
      </c>
      <c r="K27" s="15"/>
      <c r="L27" s="15"/>
      <c r="M27" s="15"/>
      <c r="N27" s="15"/>
      <c r="O27" s="15"/>
      <c r="P27" s="15"/>
      <c r="Q27" s="2455"/>
      <c r="S27" s="1953"/>
      <c r="T27" s="1282"/>
      <c r="U27" s="1284"/>
      <c r="V27" s="19"/>
      <c r="W27" s="626">
        <f t="shared" si="1"/>
        <v>0</v>
      </c>
      <c r="X27" s="331">
        <f>(W27/W46)*X11</f>
        <v>0</v>
      </c>
      <c r="Y27" s="18" t="str">
        <f>IF(ISBLANK(S27),"",(S27/W46)*X11)</f>
        <v/>
      </c>
      <c r="Z27" s="594">
        <f t="shared" si="10"/>
        <v>0</v>
      </c>
      <c r="AA27" s="1365">
        <f>W27/W46</f>
        <v>0</v>
      </c>
      <c r="AB27" s="630"/>
      <c r="AC27" s="624">
        <f>AB11</f>
        <v>0</v>
      </c>
      <c r="AD27" s="624">
        <f t="shared" si="7"/>
        <v>0</v>
      </c>
      <c r="AE27" s="1366">
        <f t="shared" si="8"/>
        <v>1</v>
      </c>
      <c r="AG27" s="623">
        <f>((W27/W11)*AI11)</f>
        <v>0</v>
      </c>
      <c r="AH27" s="18">
        <f>IF(ISTEXT(S27),S27,IF(ISBLANK(S27),0,(S27/W11)*AI11))</f>
        <v>0</v>
      </c>
      <c r="AI27" s="17">
        <f t="shared" si="2"/>
        <v>0</v>
      </c>
      <c r="AJ27" s="1413">
        <f t="shared" si="3"/>
        <v>0</v>
      </c>
      <c r="AK27" s="646">
        <f>(W27/W11)*AM11</f>
        <v>0</v>
      </c>
      <c r="AL27" s="18">
        <f>IF(ISBLANK(S27),0,(S27/W11)*AM11)</f>
        <v>0</v>
      </c>
      <c r="AM27" s="594">
        <f t="shared" si="4"/>
        <v>0</v>
      </c>
      <c r="AN27" s="646">
        <f t="shared" si="9"/>
        <v>0</v>
      </c>
      <c r="AO27" s="715">
        <f t="shared" si="5"/>
        <v>0</v>
      </c>
      <c r="AP27" s="18">
        <f>IF(ISBLANK(S27),0,(S27/W46)*AO47)</f>
        <v>0</v>
      </c>
      <c r="AQ27" s="594">
        <f t="shared" si="6"/>
        <v>0</v>
      </c>
      <c r="AR27" s="649" t="s">
        <v>588</v>
      </c>
      <c r="AS27" s="648" t="s">
        <v>589</v>
      </c>
      <c r="AT27" s="648" t="s">
        <v>587</v>
      </c>
      <c r="AU27" s="648">
        <v>3</v>
      </c>
      <c r="AW27" s="1909" t="s">
        <v>758</v>
      </c>
      <c r="AX27" s="1910">
        <f>ROW()</f>
        <v>27</v>
      </c>
    </row>
    <row r="28" spans="1:50" ht="18.95" customHeight="1">
      <c r="A28" s="2453"/>
      <c r="B28" s="1967">
        <f>IF(D10=1,AH28,IF(D10=2,AL28,IF(D10=3,AP28,IF(D10=4,AT28))))</f>
        <v>0</v>
      </c>
      <c r="C28" s="1438">
        <f>IF(D10=1,AI28,IF(D10=2,AM28,IF(D10=3,AQ28,IF(D10=4,AU28))))</f>
        <v>0</v>
      </c>
      <c r="D28" s="1951">
        <f>IF(D10=1,AG28,IF(D10=2,AK28,IF(D10=3,AO28,IF(D10=4,AS28))))</f>
        <v>0</v>
      </c>
      <c r="E28" s="1440" t="str">
        <f>IF(D10=1,"",IF(D28=F28,"",AD28))</f>
        <v/>
      </c>
      <c r="F28" s="1952" t="str">
        <f>IF(D10=1,"",IF(D10=2,AJ28,IF(D10=3,AN28,IF(D10=4,AR28))))</f>
        <v/>
      </c>
      <c r="G28" s="22">
        <f t="shared" si="0"/>
        <v>0</v>
      </c>
      <c r="H28" s="22"/>
      <c r="I28" s="2454"/>
      <c r="J28" s="1530">
        <v>15</v>
      </c>
      <c r="K28" s="15"/>
      <c r="L28" s="15"/>
      <c r="M28" s="15"/>
      <c r="N28" s="15"/>
      <c r="O28" s="15"/>
      <c r="P28" s="15"/>
      <c r="Q28" s="2455"/>
      <c r="S28" s="1953"/>
      <c r="T28" s="1282"/>
      <c r="U28" s="1284"/>
      <c r="V28" s="19"/>
      <c r="W28" s="626">
        <f t="shared" si="1"/>
        <v>0</v>
      </c>
      <c r="X28" s="331">
        <f>(W28/W46)*X11</f>
        <v>0</v>
      </c>
      <c r="Y28" s="18" t="str">
        <f>IF(ISBLANK(S28),"",(S28/W46)*X11)</f>
        <v/>
      </c>
      <c r="Z28" s="594">
        <f t="shared" si="10"/>
        <v>0</v>
      </c>
      <c r="AA28" s="1365">
        <f>W28/W46</f>
        <v>0</v>
      </c>
      <c r="AB28" s="630"/>
      <c r="AC28" s="624">
        <f>AB11</f>
        <v>0</v>
      </c>
      <c r="AD28" s="624">
        <f t="shared" si="7"/>
        <v>0</v>
      </c>
      <c r="AE28" s="1366">
        <f t="shared" si="8"/>
        <v>1</v>
      </c>
      <c r="AG28" s="623">
        <f>((W28/W11)*AI11)</f>
        <v>0</v>
      </c>
      <c r="AH28" s="18">
        <f>IF(ISTEXT(S28),S28,IF(ISBLANK(S28),0,(S28/W11)*AI11))</f>
        <v>0</v>
      </c>
      <c r="AI28" s="17">
        <f t="shared" si="2"/>
        <v>0</v>
      </c>
      <c r="AJ28" s="1413">
        <f t="shared" si="3"/>
        <v>0</v>
      </c>
      <c r="AK28" s="646">
        <f>(W28/W11)*AM11</f>
        <v>0</v>
      </c>
      <c r="AL28" s="18">
        <f>IF(ISBLANK(S28),0,(S28/W11)*AM11)</f>
        <v>0</v>
      </c>
      <c r="AM28" s="594">
        <f t="shared" si="4"/>
        <v>0</v>
      </c>
      <c r="AN28" s="646">
        <f t="shared" si="9"/>
        <v>0</v>
      </c>
      <c r="AO28" s="715">
        <f t="shared" si="5"/>
        <v>0</v>
      </c>
      <c r="AP28" s="18">
        <f>IF(ISBLANK(S28),0,(S28/W46)*AO47)</f>
        <v>0</v>
      </c>
      <c r="AQ28" s="594">
        <f t="shared" si="6"/>
        <v>0</v>
      </c>
      <c r="AR28" s="649" t="s">
        <v>588</v>
      </c>
      <c r="AS28" s="648" t="s">
        <v>589</v>
      </c>
      <c r="AT28" s="648" t="s">
        <v>587</v>
      </c>
      <c r="AU28" s="648">
        <v>3</v>
      </c>
      <c r="AW28" s="1911" t="s">
        <v>758</v>
      </c>
      <c r="AX28" s="1912">
        <f>ROW()</f>
        <v>28</v>
      </c>
    </row>
    <row r="29" spans="1:50" ht="18.95" customHeight="1">
      <c r="A29" s="2453"/>
      <c r="B29" s="1967">
        <f>IF(D10=1,AH29,IF(D10=2,AL29,IF(D10=3,AP29,IF(D10=4,AT29))))</f>
        <v>0</v>
      </c>
      <c r="C29" s="1438">
        <f>IF(D10=1,AI29,IF(D10=2,AM29,IF(D10=3,AQ29,IF(D10=4,AU29))))</f>
        <v>0</v>
      </c>
      <c r="D29" s="1951">
        <f>IF(D10=1,AG29,IF(D10=2,AK29,IF(D10=3,AO29,IF(D10=4,AS29))))</f>
        <v>0</v>
      </c>
      <c r="E29" s="1440" t="str">
        <f>IF(D10=1,"",IF(D29=F29,"",AD29))</f>
        <v/>
      </c>
      <c r="F29" s="1952" t="str">
        <f>IF(D10=1,"",IF(D10=2,AJ29,IF(D10=3,AN29,IF(D10=4,AR29))))</f>
        <v/>
      </c>
      <c r="G29" s="22">
        <f t="shared" si="0"/>
        <v>0</v>
      </c>
      <c r="H29" s="22"/>
      <c r="I29" s="2454"/>
      <c r="J29" s="1530">
        <v>16</v>
      </c>
      <c r="K29" s="15"/>
      <c r="L29" s="15"/>
      <c r="M29" s="15"/>
      <c r="N29" s="15"/>
      <c r="O29" s="15"/>
      <c r="P29" s="15"/>
      <c r="Q29" s="2455"/>
      <c r="S29" s="1953"/>
      <c r="T29" s="1282"/>
      <c r="U29" s="1284"/>
      <c r="V29" s="19"/>
      <c r="W29" s="626">
        <f t="shared" si="1"/>
        <v>0</v>
      </c>
      <c r="X29" s="331">
        <f>(W29/W46)*X11</f>
        <v>0</v>
      </c>
      <c r="Y29" s="18" t="str">
        <f>IF(ISBLANK(S29),"",(S29/W46)*X11)</f>
        <v/>
      </c>
      <c r="Z29" s="594">
        <f t="shared" si="10"/>
        <v>0</v>
      </c>
      <c r="AA29" s="1365">
        <f>W29/W46</f>
        <v>0</v>
      </c>
      <c r="AB29" s="630"/>
      <c r="AC29" s="624">
        <f>AB11</f>
        <v>0</v>
      </c>
      <c r="AD29" s="624">
        <f t="shared" si="7"/>
        <v>0</v>
      </c>
      <c r="AE29" s="1366">
        <f t="shared" si="8"/>
        <v>1</v>
      </c>
      <c r="AG29" s="623">
        <f>((W29/W11)*AI11)</f>
        <v>0</v>
      </c>
      <c r="AH29" s="18">
        <f>IF(ISTEXT(S29),S29,IF(ISBLANK(S29),0,(S29/W11)*AI11))</f>
        <v>0</v>
      </c>
      <c r="AI29" s="17">
        <f t="shared" si="2"/>
        <v>0</v>
      </c>
      <c r="AJ29" s="1413">
        <f t="shared" si="3"/>
        <v>0</v>
      </c>
      <c r="AK29" s="646">
        <f>(W29/W11)*AM11</f>
        <v>0</v>
      </c>
      <c r="AL29" s="18">
        <f>IF(ISBLANK(S29),0,(S29/W11)*AM11)</f>
        <v>0</v>
      </c>
      <c r="AM29" s="594">
        <f t="shared" si="4"/>
        <v>0</v>
      </c>
      <c r="AN29" s="646">
        <f t="shared" si="9"/>
        <v>0</v>
      </c>
      <c r="AO29" s="715">
        <f t="shared" si="5"/>
        <v>0</v>
      </c>
      <c r="AP29" s="18">
        <f>IF(ISBLANK(S29),0,(S29/W46)*AO47)</f>
        <v>0</v>
      </c>
      <c r="AQ29" s="594">
        <f t="shared" si="6"/>
        <v>0</v>
      </c>
      <c r="AR29" s="649" t="s">
        <v>588</v>
      </c>
      <c r="AS29" s="648" t="s">
        <v>589</v>
      </c>
      <c r="AT29" s="648" t="s">
        <v>587</v>
      </c>
      <c r="AU29" s="648">
        <v>3</v>
      </c>
      <c r="AW29" s="1909" t="s">
        <v>758</v>
      </c>
      <c r="AX29" s="1910">
        <f>ROW()</f>
        <v>29</v>
      </c>
    </row>
    <row r="30" spans="1:50" ht="18.95" customHeight="1">
      <c r="A30" s="2453"/>
      <c r="B30" s="1967">
        <f>IF(D10=1,AH30,IF(D10=2,AL30,IF(D10=3,AP30,IF(D10=4,AT30))))</f>
        <v>0</v>
      </c>
      <c r="C30" s="1438">
        <f>IF(D10=1,AI30,IF(D10=2,AM30,IF(D10=3,AQ30,IF(D10=4,AU30))))</f>
        <v>0</v>
      </c>
      <c r="D30" s="1951">
        <f>IF(D10=1,AG30,IF(D10=2,AK30,IF(D10=3,AO30,IF(D10=4,AS30))))</f>
        <v>0</v>
      </c>
      <c r="E30" s="1440" t="str">
        <f>IF(D10=1,"",IF(D30=F30,"",AD30))</f>
        <v/>
      </c>
      <c r="F30" s="1952" t="str">
        <f>IF(D10=1,"",IF(D10=2,AJ30,IF(D10=3,AN30,IF(D10=4,AR30))))</f>
        <v/>
      </c>
      <c r="G30" s="22">
        <f t="shared" si="0"/>
        <v>0</v>
      </c>
      <c r="H30" s="22"/>
      <c r="I30" s="2454"/>
      <c r="J30" s="1530">
        <v>17</v>
      </c>
      <c r="K30" s="15"/>
      <c r="L30" s="15"/>
      <c r="M30" s="15"/>
      <c r="N30" s="15"/>
      <c r="O30" s="15"/>
      <c r="P30" s="15"/>
      <c r="Q30" s="2455"/>
      <c r="S30" s="1953"/>
      <c r="T30" s="1282"/>
      <c r="U30" s="1284"/>
      <c r="V30" s="19"/>
      <c r="W30" s="626">
        <f t="shared" si="1"/>
        <v>0</v>
      </c>
      <c r="X30" s="331">
        <f>(W30/W46)*X11</f>
        <v>0</v>
      </c>
      <c r="Y30" s="18" t="str">
        <f>IF(ISBLANK(S30),"",(S30/W46)*X11)</f>
        <v/>
      </c>
      <c r="Z30" s="594">
        <f t="shared" si="10"/>
        <v>0</v>
      </c>
      <c r="AA30" s="1365">
        <f>W30/W46</f>
        <v>0</v>
      </c>
      <c r="AB30" s="630"/>
      <c r="AC30" s="624">
        <f>AB11</f>
        <v>0</v>
      </c>
      <c r="AD30" s="624">
        <f t="shared" si="7"/>
        <v>0</v>
      </c>
      <c r="AE30" s="1366">
        <f t="shared" si="8"/>
        <v>1</v>
      </c>
      <c r="AG30" s="623">
        <f>((W30/W11)*AI11)</f>
        <v>0</v>
      </c>
      <c r="AH30" s="18">
        <f>IF(ISTEXT(S30),S30,IF(ISBLANK(S30),0,(S30/W11)*AI11))</f>
        <v>0</v>
      </c>
      <c r="AI30" s="17">
        <f t="shared" si="2"/>
        <v>0</v>
      </c>
      <c r="AJ30" s="1413">
        <f t="shared" si="3"/>
        <v>0</v>
      </c>
      <c r="AK30" s="646">
        <f>(W30/W11)*AM11</f>
        <v>0</v>
      </c>
      <c r="AL30" s="18">
        <f>IF(ISBLANK(S30),0,(S30/W11)*AM11)</f>
        <v>0</v>
      </c>
      <c r="AM30" s="594">
        <f t="shared" si="4"/>
        <v>0</v>
      </c>
      <c r="AN30" s="646">
        <f t="shared" si="9"/>
        <v>0</v>
      </c>
      <c r="AO30" s="715">
        <f t="shared" si="5"/>
        <v>0</v>
      </c>
      <c r="AP30" s="18">
        <f>IF(ISBLANK(S30),0,(S30/W46)*AO47)</f>
        <v>0</v>
      </c>
      <c r="AQ30" s="594">
        <f t="shared" si="6"/>
        <v>0</v>
      </c>
      <c r="AR30" s="649" t="s">
        <v>588</v>
      </c>
      <c r="AS30" s="648" t="s">
        <v>589</v>
      </c>
      <c r="AT30" s="648" t="s">
        <v>587</v>
      </c>
      <c r="AU30" s="648">
        <v>3</v>
      </c>
      <c r="AW30" s="1911" t="s">
        <v>758</v>
      </c>
      <c r="AX30" s="1912">
        <f>ROW()</f>
        <v>30</v>
      </c>
    </row>
    <row r="31" spans="1:50" ht="18.95" customHeight="1">
      <c r="A31" s="2453"/>
      <c r="B31" s="1967">
        <f>IF(D10=1,AH31,IF(D10=2,AL31,IF(D10=3,AP31,IF(D10=4,AT31))))</f>
        <v>0</v>
      </c>
      <c r="C31" s="1438">
        <f>IF(D10=1,AI31,IF(D10=2,AM31,IF(D10=3,AQ31,IF(D10=4,AU31))))</f>
        <v>0</v>
      </c>
      <c r="D31" s="1951">
        <f>IF(D10=1,AG31,IF(D10=2,AK31,IF(D10=3,AO31,IF(D10=4,AS31))))</f>
        <v>0</v>
      </c>
      <c r="E31" s="1440" t="str">
        <f>IF(D10=1,"",IF(D31=F31,"",AD31))</f>
        <v/>
      </c>
      <c r="F31" s="1952" t="str">
        <f>IF(D10=1,"",IF(D10=2,AJ31,IF(D10=3,AN31,IF(D10=4,AR31))))</f>
        <v/>
      </c>
      <c r="G31" s="22">
        <f t="shared" si="0"/>
        <v>0</v>
      </c>
      <c r="H31" s="22"/>
      <c r="I31" s="2454"/>
      <c r="J31" s="1530">
        <v>18</v>
      </c>
      <c r="K31" s="15"/>
      <c r="L31" s="15"/>
      <c r="M31" s="15"/>
      <c r="N31" s="15"/>
      <c r="O31" s="15"/>
      <c r="P31" s="15"/>
      <c r="Q31" s="2455"/>
      <c r="S31" s="1953"/>
      <c r="T31" s="1282"/>
      <c r="U31" s="1284"/>
      <c r="V31" s="19"/>
      <c r="W31" s="626">
        <f t="shared" si="1"/>
        <v>0</v>
      </c>
      <c r="X31" s="331">
        <f>(W31/W46)*X11</f>
        <v>0</v>
      </c>
      <c r="Y31" s="18" t="str">
        <f>IF(ISBLANK(S31),"",(S31/W46)*X11)</f>
        <v/>
      </c>
      <c r="Z31" s="594">
        <f t="shared" si="10"/>
        <v>0</v>
      </c>
      <c r="AA31" s="1365">
        <f>W31/W46</f>
        <v>0</v>
      </c>
      <c r="AB31" s="630"/>
      <c r="AC31" s="624">
        <f>AB11</f>
        <v>0</v>
      </c>
      <c r="AD31" s="624">
        <f t="shared" si="7"/>
        <v>0</v>
      </c>
      <c r="AE31" s="1366">
        <f t="shared" si="8"/>
        <v>1</v>
      </c>
      <c r="AG31" s="623">
        <f>((W31/W11)*AI11)</f>
        <v>0</v>
      </c>
      <c r="AH31" s="18">
        <f>IF(ISTEXT(S31),S31,IF(ISBLANK(S31),0,(S31/W11)*AI11))</f>
        <v>0</v>
      </c>
      <c r="AI31" s="17">
        <f t="shared" si="2"/>
        <v>0</v>
      </c>
      <c r="AJ31" s="1413">
        <f t="shared" si="3"/>
        <v>0</v>
      </c>
      <c r="AK31" s="646">
        <f>(W31/W11)*AM11</f>
        <v>0</v>
      </c>
      <c r="AL31" s="18">
        <f>IF(ISBLANK(S31),0,(S31/W11)*AM11)</f>
        <v>0</v>
      </c>
      <c r="AM31" s="594">
        <f t="shared" si="4"/>
        <v>0</v>
      </c>
      <c r="AN31" s="646">
        <f t="shared" si="9"/>
        <v>0</v>
      </c>
      <c r="AO31" s="715">
        <f t="shared" si="5"/>
        <v>0</v>
      </c>
      <c r="AP31" s="18">
        <f>IF(ISBLANK(S31),0,(S31/W46)*AO47)</f>
        <v>0</v>
      </c>
      <c r="AQ31" s="594">
        <f t="shared" si="6"/>
        <v>0</v>
      </c>
      <c r="AR31" s="649" t="s">
        <v>588</v>
      </c>
      <c r="AS31" s="648" t="s">
        <v>589</v>
      </c>
      <c r="AT31" s="648" t="s">
        <v>587</v>
      </c>
      <c r="AU31" s="648">
        <v>3</v>
      </c>
      <c r="AW31" s="1909" t="s">
        <v>758</v>
      </c>
      <c r="AX31" s="1910">
        <f>ROW()</f>
        <v>31</v>
      </c>
    </row>
    <row r="32" spans="1:50" ht="18.95" customHeight="1">
      <c r="A32" s="2453"/>
      <c r="B32" s="1967">
        <f>IF(D10=1,AH32,IF(D10=2,AL32,IF(D10=3,AP32,IF(D10=4,AT32))))</f>
        <v>0</v>
      </c>
      <c r="C32" s="1438">
        <f>IF(D10=1,AI32,IF(D10=2,AM32,IF(D10=3,AQ32,IF(D10=4,AU32))))</f>
        <v>0</v>
      </c>
      <c r="D32" s="1951">
        <f>IF(D10=1,AG32,IF(D10=2,AK32,IF(D10=3,AO32,IF(D10=4,AS32))))</f>
        <v>0</v>
      </c>
      <c r="E32" s="1440" t="str">
        <f>IF(D10=1,"",IF(D32=F32,"",AD32))</f>
        <v/>
      </c>
      <c r="F32" s="1952" t="str">
        <f>IF(D10=1,"",IF(D10=2,AJ32,IF(D10=3,AN32,IF(D10=4,AR32))))</f>
        <v/>
      </c>
      <c r="G32" s="22">
        <f t="shared" si="0"/>
        <v>0</v>
      </c>
      <c r="H32" s="22"/>
      <c r="I32" s="2454"/>
      <c r="J32" s="1530">
        <v>19</v>
      </c>
      <c r="K32" s="15"/>
      <c r="L32" s="15"/>
      <c r="M32" s="15"/>
      <c r="N32" s="15"/>
      <c r="O32" s="15"/>
      <c r="P32" s="15"/>
      <c r="Q32" s="2455"/>
      <c r="S32" s="1953"/>
      <c r="T32" s="1282"/>
      <c r="U32" s="1284"/>
      <c r="V32" s="19"/>
      <c r="W32" s="626">
        <f t="shared" si="1"/>
        <v>0</v>
      </c>
      <c r="X32" s="331">
        <f>(W32/W46)*X11</f>
        <v>0</v>
      </c>
      <c r="Y32" s="18" t="str">
        <f>IF(ISBLANK(S32),"",(S32/W46)*X11)</f>
        <v/>
      </c>
      <c r="Z32" s="594">
        <f t="shared" si="10"/>
        <v>0</v>
      </c>
      <c r="AA32" s="1365">
        <f>W32/W46</f>
        <v>0</v>
      </c>
      <c r="AB32" s="630"/>
      <c r="AC32" s="624">
        <f>AB11</f>
        <v>0</v>
      </c>
      <c r="AD32" s="624">
        <f t="shared" si="7"/>
        <v>0</v>
      </c>
      <c r="AE32" s="1366">
        <f t="shared" si="8"/>
        <v>1</v>
      </c>
      <c r="AG32" s="623">
        <f>((W32/W11)*AI11)</f>
        <v>0</v>
      </c>
      <c r="AH32" s="18">
        <f>IF(ISTEXT(S32),S32,IF(ISBLANK(S32),0,(S32/W11)*AI11))</f>
        <v>0</v>
      </c>
      <c r="AI32" s="17">
        <f t="shared" si="2"/>
        <v>0</v>
      </c>
      <c r="AJ32" s="1413">
        <f t="shared" si="3"/>
        <v>0</v>
      </c>
      <c r="AK32" s="646">
        <f>(W32/W11)*AM11</f>
        <v>0</v>
      </c>
      <c r="AL32" s="18">
        <f>IF(ISBLANK(S32),0,(S32/W11)*AM11)</f>
        <v>0</v>
      </c>
      <c r="AM32" s="594">
        <f t="shared" si="4"/>
        <v>0</v>
      </c>
      <c r="AN32" s="646">
        <f t="shared" si="9"/>
        <v>0</v>
      </c>
      <c r="AO32" s="715">
        <f t="shared" si="5"/>
        <v>0</v>
      </c>
      <c r="AP32" s="18">
        <f>IF(ISBLANK(S32),0,(S32/W46)*AO47)</f>
        <v>0</v>
      </c>
      <c r="AQ32" s="594">
        <f t="shared" si="6"/>
        <v>0</v>
      </c>
      <c r="AR32" s="649" t="s">
        <v>588</v>
      </c>
      <c r="AS32" s="648" t="s">
        <v>589</v>
      </c>
      <c r="AT32" s="648" t="s">
        <v>587</v>
      </c>
      <c r="AU32" s="648">
        <v>3</v>
      </c>
      <c r="AW32" s="1911" t="s">
        <v>758</v>
      </c>
      <c r="AX32" s="1912">
        <f>ROW()</f>
        <v>32</v>
      </c>
    </row>
    <row r="33" spans="1:50" ht="18.95" customHeight="1">
      <c r="A33" s="2453"/>
      <c r="B33" s="1967">
        <f>IF(D10=1,AH33,IF(D10=2,AL33,IF(D10=3,AP33,IF(D10=4,AT33))))</f>
        <v>0</v>
      </c>
      <c r="C33" s="1438">
        <f>IF(D10=1,AI33,IF(D10=2,AM33,IF(D10=3,AQ33,IF(D10=4,AU33))))</f>
        <v>0</v>
      </c>
      <c r="D33" s="1951">
        <f>IF(D10=1,AG33,IF(D10=2,AK33,IF(D10=3,AO33,IF(D10=4,AS33))))</f>
        <v>0</v>
      </c>
      <c r="E33" s="1440" t="str">
        <f>IF(D10=1,"",IF(D33=F33,"",AD33))</f>
        <v/>
      </c>
      <c r="F33" s="1952" t="str">
        <f>IF(D10=1,"",IF(D10=2,AJ33,IF(D10=3,AN33,IF(D10=4,AR33))))</f>
        <v/>
      </c>
      <c r="G33" s="22">
        <f t="shared" si="0"/>
        <v>0</v>
      </c>
      <c r="H33" s="22"/>
      <c r="I33" s="2454"/>
      <c r="J33" s="1530">
        <v>20</v>
      </c>
      <c r="K33" s="15"/>
      <c r="L33" s="15"/>
      <c r="M33" s="15"/>
      <c r="N33" s="15"/>
      <c r="O33" s="15"/>
      <c r="P33" s="15"/>
      <c r="Q33" s="2455"/>
      <c r="S33" s="1953"/>
      <c r="T33" s="1282"/>
      <c r="U33" s="1284"/>
      <c r="V33" s="19"/>
      <c r="W33" s="626">
        <f t="shared" si="1"/>
        <v>0</v>
      </c>
      <c r="X33" s="331">
        <f>(W33/W46)*X11</f>
        <v>0</v>
      </c>
      <c r="Y33" s="18" t="str">
        <f>IF(ISBLANK(S33),"",(S33/W46)*X11)</f>
        <v/>
      </c>
      <c r="Z33" s="594">
        <f t="shared" si="10"/>
        <v>0</v>
      </c>
      <c r="AA33" s="1365">
        <f>W33/W46</f>
        <v>0</v>
      </c>
      <c r="AB33" s="630"/>
      <c r="AC33" s="624">
        <f>AB11</f>
        <v>0</v>
      </c>
      <c r="AD33" s="624">
        <f t="shared" si="7"/>
        <v>0</v>
      </c>
      <c r="AE33" s="1366">
        <f t="shared" si="8"/>
        <v>1</v>
      </c>
      <c r="AG33" s="623">
        <f>((W33/W11)*AI11)</f>
        <v>0</v>
      </c>
      <c r="AH33" s="18">
        <f>IF(ISTEXT(S33),S33,IF(ISBLANK(S33),0,(S33/W11)*AI11))</f>
        <v>0</v>
      </c>
      <c r="AI33" s="17">
        <f t="shared" si="2"/>
        <v>0</v>
      </c>
      <c r="AJ33" s="1413">
        <f t="shared" si="3"/>
        <v>0</v>
      </c>
      <c r="AK33" s="646">
        <f>(W33/W11)*AM11</f>
        <v>0</v>
      </c>
      <c r="AL33" s="18">
        <f>IF(ISBLANK(S33),0,(S33/W11)*AM11)</f>
        <v>0</v>
      </c>
      <c r="AM33" s="594">
        <f t="shared" si="4"/>
        <v>0</v>
      </c>
      <c r="AN33" s="646">
        <f t="shared" si="9"/>
        <v>0</v>
      </c>
      <c r="AO33" s="715">
        <f t="shared" si="5"/>
        <v>0</v>
      </c>
      <c r="AP33" s="18">
        <f>IF(ISBLANK(S33),0,(S33/W46)*AO47)</f>
        <v>0</v>
      </c>
      <c r="AQ33" s="594">
        <f t="shared" si="6"/>
        <v>0</v>
      </c>
      <c r="AR33" s="649" t="s">
        <v>588</v>
      </c>
      <c r="AS33" s="648" t="s">
        <v>589</v>
      </c>
      <c r="AT33" s="648" t="s">
        <v>587</v>
      </c>
      <c r="AU33" s="648">
        <v>3</v>
      </c>
      <c r="AW33" s="1909" t="s">
        <v>758</v>
      </c>
      <c r="AX33" s="1910">
        <f>ROW()</f>
        <v>33</v>
      </c>
    </row>
    <row r="34" spans="1:50" ht="18.95" customHeight="1">
      <c r="A34" s="2453"/>
      <c r="B34" s="1967">
        <f>IF(D10=1,AH34,IF(D10=2,AL34,IF(D10=3,AP34,IF(D10=4,AT34))))</f>
        <v>0</v>
      </c>
      <c r="C34" s="1438">
        <f>IF(D10=1,AI34,IF(D10=2,AM34,IF(D10=3,AQ34,IF(D10=4,AU34))))</f>
        <v>0</v>
      </c>
      <c r="D34" s="1951">
        <f>IF(D10=1,AG34,IF(D10=2,AK34,IF(D10=3,AO34,IF(D10=4,AS34))))</f>
        <v>0</v>
      </c>
      <c r="E34" s="1440" t="str">
        <f>IF(D10=1,"",IF(D34=F34,"",AD34))</f>
        <v/>
      </c>
      <c r="F34" s="1952" t="str">
        <f>IF(D10=1,"",IF(D10=2,AJ34,IF(D10=3,AN34,IF(D10=4,AR34))))</f>
        <v/>
      </c>
      <c r="G34" s="22">
        <f t="shared" si="0"/>
        <v>0</v>
      </c>
      <c r="H34" s="22"/>
      <c r="I34" s="2454"/>
      <c r="J34" s="1530">
        <v>21</v>
      </c>
      <c r="K34" s="15"/>
      <c r="L34" s="15"/>
      <c r="M34" s="15"/>
      <c r="N34" s="15"/>
      <c r="O34" s="15"/>
      <c r="P34" s="15"/>
      <c r="Q34" s="2455"/>
      <c r="S34" s="1953"/>
      <c r="T34" s="1282"/>
      <c r="U34" s="1284"/>
      <c r="V34" s="19"/>
      <c r="W34" s="626">
        <f t="shared" si="1"/>
        <v>0</v>
      </c>
      <c r="X34" s="331">
        <f>(W34/W46)*X11</f>
        <v>0</v>
      </c>
      <c r="Y34" s="18" t="str">
        <f>IF(ISBLANK(S34),"",(S34/W46)*X11)</f>
        <v/>
      </c>
      <c r="Z34" s="594">
        <f t="shared" si="10"/>
        <v>0</v>
      </c>
      <c r="AA34" s="1365">
        <f>W34/W46</f>
        <v>0</v>
      </c>
      <c r="AB34" s="630"/>
      <c r="AC34" s="624">
        <f>AB11</f>
        <v>0</v>
      </c>
      <c r="AD34" s="624">
        <f t="shared" si="7"/>
        <v>0</v>
      </c>
      <c r="AE34" s="1366">
        <f t="shared" si="8"/>
        <v>1</v>
      </c>
      <c r="AG34" s="623">
        <f>((W34/W11)*AI11)</f>
        <v>0</v>
      </c>
      <c r="AH34" s="18">
        <f>IF(ISTEXT(S34),S34,IF(ISBLANK(S34),0,(S34/W11)*AI11))</f>
        <v>0</v>
      </c>
      <c r="AI34" s="17">
        <f t="shared" si="2"/>
        <v>0</v>
      </c>
      <c r="AJ34" s="1413">
        <f t="shared" si="3"/>
        <v>0</v>
      </c>
      <c r="AK34" s="646">
        <f>(W34/W11)*AM11</f>
        <v>0</v>
      </c>
      <c r="AL34" s="18">
        <f>IF(ISBLANK(S34),0,(S34/W11)*AM11)</f>
        <v>0</v>
      </c>
      <c r="AM34" s="594">
        <f t="shared" si="4"/>
        <v>0</v>
      </c>
      <c r="AN34" s="646">
        <f t="shared" si="9"/>
        <v>0</v>
      </c>
      <c r="AO34" s="715">
        <f t="shared" si="5"/>
        <v>0</v>
      </c>
      <c r="AP34" s="18">
        <f>IF(ISBLANK(S34),0,(S34/W46)*AO47)</f>
        <v>0</v>
      </c>
      <c r="AQ34" s="594">
        <f t="shared" si="6"/>
        <v>0</v>
      </c>
      <c r="AR34" s="649" t="s">
        <v>588</v>
      </c>
      <c r="AS34" s="648" t="s">
        <v>589</v>
      </c>
      <c r="AT34" s="648" t="s">
        <v>587</v>
      </c>
      <c r="AU34" s="648">
        <v>3</v>
      </c>
      <c r="AW34" s="1911" t="s">
        <v>758</v>
      </c>
      <c r="AX34" s="1912">
        <f>ROW()</f>
        <v>34</v>
      </c>
    </row>
    <row r="35" spans="1:50" ht="18.95" customHeight="1">
      <c r="A35" s="2453"/>
      <c r="B35" s="1967">
        <f>IF(D10=1,AH35,IF(D10=2,AL35,IF(D10=3,AP35,IF(D10=4,AT35))))</f>
        <v>0</v>
      </c>
      <c r="C35" s="1438">
        <f>IF(D10=1,AI35,IF(D10=2,AM35,IF(D10=3,AQ35,IF(D10=4,AU35))))</f>
        <v>0</v>
      </c>
      <c r="D35" s="1951">
        <f>IF(D10=1,AG35,IF(D10=2,AK35,IF(D10=3,AO35,IF(D10=4,AS35))))</f>
        <v>0</v>
      </c>
      <c r="E35" s="1440" t="str">
        <f>IF(D10=1,"",IF(D35=F35,"",AD35))</f>
        <v/>
      </c>
      <c r="F35" s="1952" t="str">
        <f>IF(D10=1,"",IF(D10=2,AJ35,IF(D10=3,AN35,IF(D10=4,AR35))))</f>
        <v/>
      </c>
      <c r="G35" s="22">
        <f t="shared" si="0"/>
        <v>0</v>
      </c>
      <c r="H35" s="22"/>
      <c r="I35" s="2454"/>
      <c r="J35" s="1530">
        <v>22</v>
      </c>
      <c r="K35" s="15"/>
      <c r="L35" s="15"/>
      <c r="M35" s="15"/>
      <c r="N35" s="15"/>
      <c r="O35" s="15"/>
      <c r="P35" s="15"/>
      <c r="Q35" s="2455"/>
      <c r="S35" s="1953"/>
      <c r="T35" s="1282"/>
      <c r="U35" s="1284"/>
      <c r="V35" s="19"/>
      <c r="W35" s="626">
        <f t="shared" si="1"/>
        <v>0</v>
      </c>
      <c r="X35" s="331">
        <f>(W35/W46)*X11</f>
        <v>0</v>
      </c>
      <c r="Y35" s="18" t="str">
        <f>IF(ISBLANK(S35),"",(S35/W46)*X11)</f>
        <v/>
      </c>
      <c r="Z35" s="594">
        <f t="shared" si="10"/>
        <v>0</v>
      </c>
      <c r="AA35" s="1365">
        <f>W35/W46</f>
        <v>0</v>
      </c>
      <c r="AB35" s="630"/>
      <c r="AC35" s="624">
        <f>AB11</f>
        <v>0</v>
      </c>
      <c r="AD35" s="624">
        <f t="shared" si="7"/>
        <v>0</v>
      </c>
      <c r="AE35" s="1366">
        <f t="shared" si="8"/>
        <v>1</v>
      </c>
      <c r="AG35" s="623">
        <f>((W35/W11)*AI11)</f>
        <v>0</v>
      </c>
      <c r="AH35" s="18">
        <f>IF(ISTEXT(S35),S35,IF(ISBLANK(S35),0,(S35/W11)*AI11))</f>
        <v>0</v>
      </c>
      <c r="AI35" s="17">
        <f t="shared" si="2"/>
        <v>0</v>
      </c>
      <c r="AJ35" s="1413">
        <f t="shared" si="3"/>
        <v>0</v>
      </c>
      <c r="AK35" s="646">
        <f>(W35/W11)*AM11</f>
        <v>0</v>
      </c>
      <c r="AL35" s="18">
        <f>IF(ISBLANK(S35),0,(S35/W11)*AM11)</f>
        <v>0</v>
      </c>
      <c r="AM35" s="594">
        <f t="shared" si="4"/>
        <v>0</v>
      </c>
      <c r="AN35" s="646">
        <f t="shared" si="9"/>
        <v>0</v>
      </c>
      <c r="AO35" s="715">
        <f t="shared" si="5"/>
        <v>0</v>
      </c>
      <c r="AP35" s="18">
        <f>IF(ISBLANK(S35),0,(S35/W46)*AO47)</f>
        <v>0</v>
      </c>
      <c r="AQ35" s="594">
        <f t="shared" si="6"/>
        <v>0</v>
      </c>
      <c r="AR35" s="649" t="s">
        <v>588</v>
      </c>
      <c r="AS35" s="648" t="s">
        <v>589</v>
      </c>
      <c r="AT35" s="648" t="s">
        <v>587</v>
      </c>
      <c r="AU35" s="648">
        <v>3</v>
      </c>
      <c r="AW35" s="1909" t="s">
        <v>758</v>
      </c>
      <c r="AX35" s="1910">
        <f>ROW()</f>
        <v>35</v>
      </c>
    </row>
    <row r="36" spans="1:50" ht="18.95" customHeight="1">
      <c r="A36" s="2453"/>
      <c r="B36" s="1967">
        <f>IF(D10=1,AH36,IF(D10=2,AL36,IF(D10=3,AP36,IF(D10=4,AT36))))</f>
        <v>0</v>
      </c>
      <c r="C36" s="1438">
        <f>IF(D10=1,AI36,IF(D10=2,AM36,IF(D10=3,AQ36,IF(D10=4,AU36))))</f>
        <v>0</v>
      </c>
      <c r="D36" s="1951">
        <f>IF(D10=1,AG36,IF(D10=2,AK36,IF(D10=3,AO36,IF(D10=4,AS36))))</f>
        <v>0</v>
      </c>
      <c r="E36" s="1440" t="str">
        <f>IF(D10=1,"",IF(D36=F36,"",AD36))</f>
        <v/>
      </c>
      <c r="F36" s="1952" t="str">
        <f>IF(D10=1,"",IF(D10=2,AJ36,IF(D10=3,AN36,IF(D10=4,AR36))))</f>
        <v/>
      </c>
      <c r="G36" s="22">
        <f t="shared" si="0"/>
        <v>0</v>
      </c>
      <c r="H36" s="22"/>
      <c r="I36" s="2454"/>
      <c r="J36" s="1530">
        <v>23</v>
      </c>
      <c r="K36" s="15"/>
      <c r="L36" s="15"/>
      <c r="M36" s="15"/>
      <c r="N36" s="15"/>
      <c r="O36" s="15"/>
      <c r="P36" s="15"/>
      <c r="Q36" s="2455"/>
      <c r="S36" s="1953"/>
      <c r="T36" s="1282"/>
      <c r="U36" s="1284"/>
      <c r="V36" s="19"/>
      <c r="W36" s="626">
        <f t="shared" si="1"/>
        <v>0</v>
      </c>
      <c r="X36" s="331">
        <f>(W36/W46)*X11</f>
        <v>0</v>
      </c>
      <c r="Y36" s="18" t="str">
        <f>IF(ISBLANK(S36),"",(S36/W46)*X11)</f>
        <v/>
      </c>
      <c r="Z36" s="594">
        <f t="shared" si="10"/>
        <v>0</v>
      </c>
      <c r="AA36" s="1365">
        <f>W36/W46</f>
        <v>0</v>
      </c>
      <c r="AB36" s="630"/>
      <c r="AC36" s="624">
        <f>AB11</f>
        <v>0</v>
      </c>
      <c r="AD36" s="624">
        <f t="shared" si="7"/>
        <v>0</v>
      </c>
      <c r="AE36" s="1366">
        <f t="shared" si="8"/>
        <v>1</v>
      </c>
      <c r="AG36" s="623">
        <f>((W36/W11)*AI11)</f>
        <v>0</v>
      </c>
      <c r="AH36" s="18">
        <f>IF(ISTEXT(S36),S36,IF(ISBLANK(S36),0,(S36/W11)*AI11))</f>
        <v>0</v>
      </c>
      <c r="AI36" s="17">
        <f t="shared" si="2"/>
        <v>0</v>
      </c>
      <c r="AJ36" s="1413">
        <f t="shared" si="3"/>
        <v>0</v>
      </c>
      <c r="AK36" s="646">
        <f>(W36/W11)*AM11</f>
        <v>0</v>
      </c>
      <c r="AL36" s="18">
        <f>IF(ISBLANK(S36),0,(S36/W11)*AM11)</f>
        <v>0</v>
      </c>
      <c r="AM36" s="594">
        <f t="shared" si="4"/>
        <v>0</v>
      </c>
      <c r="AN36" s="646">
        <f t="shared" si="9"/>
        <v>0</v>
      </c>
      <c r="AO36" s="715">
        <f t="shared" si="5"/>
        <v>0</v>
      </c>
      <c r="AP36" s="18">
        <f>IF(ISBLANK(S36),0,(S36/W46)*AO47)</f>
        <v>0</v>
      </c>
      <c r="AQ36" s="594">
        <f t="shared" si="6"/>
        <v>0</v>
      </c>
      <c r="AR36" s="649" t="s">
        <v>588</v>
      </c>
      <c r="AS36" s="648" t="s">
        <v>589</v>
      </c>
      <c r="AT36" s="648" t="s">
        <v>587</v>
      </c>
      <c r="AU36" s="648">
        <v>3</v>
      </c>
      <c r="AW36" s="1911" t="s">
        <v>758</v>
      </c>
      <c r="AX36" s="1912">
        <f>ROW()</f>
        <v>36</v>
      </c>
    </row>
    <row r="37" spans="1:50" ht="18.95" customHeight="1">
      <c r="A37" s="2453"/>
      <c r="B37" s="1967">
        <f>IF(D10=1,AH37,IF(D10=2,AL37,IF(D10=3,AP37,IF(D10=4,AT37))))</f>
        <v>0</v>
      </c>
      <c r="C37" s="1438">
        <f>IF(D10=1,AI37,IF(D10=2,AM37,IF(D10=3,AQ37,IF(D10=4,AU37))))</f>
        <v>0</v>
      </c>
      <c r="D37" s="1951">
        <f>IF(D10=1,AG37,IF(D10=2,AK37,IF(D10=3,AO37,IF(D10=4,AS37))))</f>
        <v>0</v>
      </c>
      <c r="E37" s="1440" t="str">
        <f>IF(D10=1,"",IF(D37=F37,"",AD37))</f>
        <v/>
      </c>
      <c r="F37" s="1952" t="str">
        <f>IF(D10=1,"",IF(D10=2,AJ37,IF(D10=3,AN37,IF(D10=4,AR37))))</f>
        <v/>
      </c>
      <c r="G37" s="22">
        <f t="shared" si="0"/>
        <v>0</v>
      </c>
      <c r="H37" s="22"/>
      <c r="I37" s="2454"/>
      <c r="J37" s="1530">
        <v>24</v>
      </c>
      <c r="K37" s="15"/>
      <c r="L37" s="15"/>
      <c r="M37" s="15"/>
      <c r="N37" s="15"/>
      <c r="O37" s="15"/>
      <c r="P37" s="15"/>
      <c r="Q37" s="2455"/>
      <c r="S37" s="1953"/>
      <c r="T37" s="1282"/>
      <c r="U37" s="1284"/>
      <c r="V37" s="19"/>
      <c r="W37" s="626">
        <f t="shared" si="1"/>
        <v>0</v>
      </c>
      <c r="X37" s="331">
        <f>(W37/W46)*X11</f>
        <v>0</v>
      </c>
      <c r="Y37" s="18" t="str">
        <f>IF(ISBLANK(S37),"",(S37/W46)*X11)</f>
        <v/>
      </c>
      <c r="Z37" s="594">
        <f t="shared" si="10"/>
        <v>0</v>
      </c>
      <c r="AA37" s="1365">
        <f>W37/W46</f>
        <v>0</v>
      </c>
      <c r="AB37" s="630"/>
      <c r="AC37" s="624">
        <f>AB11</f>
        <v>0</v>
      </c>
      <c r="AD37" s="624">
        <f t="shared" si="7"/>
        <v>0</v>
      </c>
      <c r="AE37" s="1366">
        <f t="shared" si="8"/>
        <v>1</v>
      </c>
      <c r="AG37" s="623">
        <f>((W37/W11)*AI11)</f>
        <v>0</v>
      </c>
      <c r="AH37" s="18">
        <f>IF(ISTEXT(S37),S37,IF(ISBLANK(S37),0,(S37/W11)*AI11))</f>
        <v>0</v>
      </c>
      <c r="AI37" s="17">
        <f t="shared" si="2"/>
        <v>0</v>
      </c>
      <c r="AJ37" s="1413">
        <f t="shared" si="3"/>
        <v>0</v>
      </c>
      <c r="AK37" s="646">
        <f>(W37/W11)*AM11</f>
        <v>0</v>
      </c>
      <c r="AL37" s="18">
        <f>IF(ISBLANK(S37),0,(S37/W11)*AM11)</f>
        <v>0</v>
      </c>
      <c r="AM37" s="594">
        <f t="shared" si="4"/>
        <v>0</v>
      </c>
      <c r="AN37" s="646">
        <f t="shared" si="9"/>
        <v>0</v>
      </c>
      <c r="AO37" s="715">
        <f t="shared" si="5"/>
        <v>0</v>
      </c>
      <c r="AP37" s="18">
        <f>IF(ISBLANK(S37),0,(S37/W46)*AO47)</f>
        <v>0</v>
      </c>
      <c r="AQ37" s="594">
        <f t="shared" si="6"/>
        <v>0</v>
      </c>
      <c r="AR37" s="649" t="s">
        <v>588</v>
      </c>
      <c r="AS37" s="648" t="s">
        <v>589</v>
      </c>
      <c r="AT37" s="648" t="s">
        <v>587</v>
      </c>
      <c r="AU37" s="648">
        <v>3</v>
      </c>
      <c r="AW37" s="1909" t="s">
        <v>758</v>
      </c>
      <c r="AX37" s="1910">
        <f>ROW()</f>
        <v>37</v>
      </c>
    </row>
    <row r="38" spans="1:50" ht="18.95" customHeight="1">
      <c r="A38" s="2453"/>
      <c r="B38" s="1967">
        <f>IF(D10=1,AH38,IF(D10=2,AL38,IF(D10=3,AP38,IF(D10=4,AT38))))</f>
        <v>0</v>
      </c>
      <c r="C38" s="1438">
        <f>IF(D10=1,AI38,IF(D10=2,AM38,IF(D10=3,AQ38,IF(D10=4,AU38))))</f>
        <v>0</v>
      </c>
      <c r="D38" s="1951">
        <f>IF(D10=1,AG38,IF(D10=2,AK38,IF(D10=3,AO38,IF(D10=4,AS38))))</f>
        <v>0</v>
      </c>
      <c r="E38" s="1440" t="str">
        <f>IF(D10=1,"",IF(D38=F38,"",AD38))</f>
        <v/>
      </c>
      <c r="F38" s="1952" t="str">
        <f>IF(D10=1,"",IF(D10=2,AJ38,IF(D10=3,AN38,IF(D10=4,AR38))))</f>
        <v/>
      </c>
      <c r="G38" s="22">
        <f t="shared" si="0"/>
        <v>0</v>
      </c>
      <c r="H38" s="22"/>
      <c r="I38" s="2454"/>
      <c r="J38" s="1530">
        <v>25</v>
      </c>
      <c r="K38" s="15"/>
      <c r="L38" s="15"/>
      <c r="M38" s="15"/>
      <c r="N38" s="15"/>
      <c r="O38" s="15"/>
      <c r="P38" s="15"/>
      <c r="Q38" s="2455"/>
      <c r="S38" s="1953"/>
      <c r="T38" s="1282"/>
      <c r="U38" s="1284"/>
      <c r="V38" s="19"/>
      <c r="W38" s="626">
        <f t="shared" si="1"/>
        <v>0</v>
      </c>
      <c r="X38" s="331">
        <f>(W38/W46)*X11</f>
        <v>0</v>
      </c>
      <c r="Y38" s="18" t="str">
        <f>IF(ISBLANK(S38),"",(S38/W46)*X11)</f>
        <v/>
      </c>
      <c r="Z38" s="594">
        <f t="shared" si="10"/>
        <v>0</v>
      </c>
      <c r="AA38" s="1365">
        <f>W38/W46</f>
        <v>0</v>
      </c>
      <c r="AB38" s="630"/>
      <c r="AC38" s="624">
        <f>AB11</f>
        <v>0</v>
      </c>
      <c r="AD38" s="624">
        <f t="shared" si="7"/>
        <v>0</v>
      </c>
      <c r="AE38" s="1366">
        <f t="shared" si="8"/>
        <v>1</v>
      </c>
      <c r="AG38" s="623">
        <f>((W38/W11)*AI11)</f>
        <v>0</v>
      </c>
      <c r="AH38" s="18">
        <f>IF(ISTEXT(S38),S38,IF(ISBLANK(S38),0,(S38/W11)*AI11))</f>
        <v>0</v>
      </c>
      <c r="AI38" s="17">
        <f t="shared" si="2"/>
        <v>0</v>
      </c>
      <c r="AJ38" s="1413">
        <f t="shared" si="3"/>
        <v>0</v>
      </c>
      <c r="AK38" s="646">
        <f>(W38/W11)*AM11</f>
        <v>0</v>
      </c>
      <c r="AL38" s="18">
        <f>IF(ISBLANK(S38),0,(S38/W11)*AM11)</f>
        <v>0</v>
      </c>
      <c r="AM38" s="594">
        <f t="shared" si="4"/>
        <v>0</v>
      </c>
      <c r="AN38" s="646">
        <f t="shared" si="9"/>
        <v>0</v>
      </c>
      <c r="AO38" s="715">
        <f t="shared" si="5"/>
        <v>0</v>
      </c>
      <c r="AP38" s="18">
        <f>IF(ISBLANK(S38),0,(S38/W46)*AO47)</f>
        <v>0</v>
      </c>
      <c r="AQ38" s="594">
        <f t="shared" si="6"/>
        <v>0</v>
      </c>
      <c r="AR38" s="649" t="s">
        <v>588</v>
      </c>
      <c r="AS38" s="648" t="s">
        <v>589</v>
      </c>
      <c r="AT38" s="648" t="s">
        <v>587</v>
      </c>
      <c r="AU38" s="648">
        <v>3</v>
      </c>
      <c r="AW38" s="1911" t="s">
        <v>758</v>
      </c>
      <c r="AX38" s="1912">
        <f>ROW()</f>
        <v>38</v>
      </c>
    </row>
    <row r="39" spans="1:50" ht="18.95" customHeight="1">
      <c r="A39" s="2453"/>
      <c r="B39" s="1967">
        <f>IF(D10=1,AH39,IF(D10=2,AL39,IF(D10=3,AP39,IF(D10=4,AT39))))</f>
        <v>0</v>
      </c>
      <c r="C39" s="1438">
        <f>IF(D10=1,AI39,IF(D10=2,AM39,IF(D10=3,AQ39,IF(D10=4,AU39))))</f>
        <v>0</v>
      </c>
      <c r="D39" s="1951">
        <f>IF(D10=1,AG39,IF(D10=2,AK39,IF(D10=3,AO39,IF(D10=4,AS39))))</f>
        <v>0</v>
      </c>
      <c r="E39" s="1440" t="str">
        <f>IF(D10=1,"",IF(D39=F39,"",AD39))</f>
        <v/>
      </c>
      <c r="F39" s="1952" t="str">
        <f>IF(D10=1,"",IF(D10=2,AJ39,IF(D10=3,AN39,IF(D10=4,AR39))))</f>
        <v/>
      </c>
      <c r="G39" s="22">
        <f t="shared" si="0"/>
        <v>0</v>
      </c>
      <c r="H39" s="22"/>
      <c r="I39" s="2454"/>
      <c r="J39" s="1530">
        <v>26</v>
      </c>
      <c r="K39" s="15"/>
      <c r="L39" s="15"/>
      <c r="M39" s="15"/>
      <c r="N39" s="15"/>
      <c r="O39" s="15"/>
      <c r="P39" s="15"/>
      <c r="Q39" s="2455"/>
      <c r="S39" s="1953"/>
      <c r="T39" s="1282"/>
      <c r="U39" s="1284"/>
      <c r="V39" s="19"/>
      <c r="W39" s="626">
        <f t="shared" si="1"/>
        <v>0</v>
      </c>
      <c r="X39" s="331">
        <f>(W39/W46)*X11</f>
        <v>0</v>
      </c>
      <c r="Y39" s="18" t="str">
        <f>IF(ISBLANK(S39),"",(S39/W46)*X11)</f>
        <v/>
      </c>
      <c r="Z39" s="594">
        <f t="shared" si="10"/>
        <v>0</v>
      </c>
      <c r="AA39" s="1365">
        <f>W39/W46</f>
        <v>0</v>
      </c>
      <c r="AB39" s="630"/>
      <c r="AC39" s="624">
        <f>AB11</f>
        <v>0</v>
      </c>
      <c r="AD39" s="624">
        <f t="shared" si="7"/>
        <v>0</v>
      </c>
      <c r="AE39" s="1366">
        <f t="shared" si="8"/>
        <v>1</v>
      </c>
      <c r="AG39" s="623">
        <f>((W39/W11)*AI11)</f>
        <v>0</v>
      </c>
      <c r="AH39" s="18">
        <f>IF(ISTEXT(S39),S39,IF(ISBLANK(S39),0,(S39/W11)*AI11))</f>
        <v>0</v>
      </c>
      <c r="AI39" s="17">
        <f t="shared" si="2"/>
        <v>0</v>
      </c>
      <c r="AJ39" s="1413">
        <f t="shared" si="3"/>
        <v>0</v>
      </c>
      <c r="AK39" s="646">
        <f>(W39/W11)*AM11</f>
        <v>0</v>
      </c>
      <c r="AL39" s="18">
        <f>IF(ISBLANK(S39),0,(S39/W11)*AM11)</f>
        <v>0</v>
      </c>
      <c r="AM39" s="594">
        <f t="shared" si="4"/>
        <v>0</v>
      </c>
      <c r="AN39" s="646">
        <f t="shared" si="9"/>
        <v>0</v>
      </c>
      <c r="AO39" s="715">
        <f t="shared" si="5"/>
        <v>0</v>
      </c>
      <c r="AP39" s="18">
        <f>IF(ISBLANK(S39),0,(S39/W46)*AO47)</f>
        <v>0</v>
      </c>
      <c r="AQ39" s="594">
        <f t="shared" si="6"/>
        <v>0</v>
      </c>
      <c r="AR39" s="649" t="s">
        <v>588</v>
      </c>
      <c r="AS39" s="648" t="s">
        <v>589</v>
      </c>
      <c r="AT39" s="648" t="s">
        <v>587</v>
      </c>
      <c r="AU39" s="648">
        <v>3</v>
      </c>
      <c r="AW39" s="1909" t="s">
        <v>758</v>
      </c>
      <c r="AX39" s="1910">
        <f>ROW()</f>
        <v>39</v>
      </c>
    </row>
    <row r="40" spans="1:50" ht="18.95" customHeight="1">
      <c r="A40" s="2453"/>
      <c r="B40" s="1967">
        <f>IF(D10=1,AH40,IF(D10=2,AL40,IF(D10=3,AP40,IF(D10=4,AT40))))</f>
        <v>0</v>
      </c>
      <c r="C40" s="1438">
        <f>IF(D10=1,AI40,IF(D10=2,AM40,IF(D10=3,AQ40,IF(D10=4,AU40))))</f>
        <v>0</v>
      </c>
      <c r="D40" s="1951">
        <f>IF(D10=1,AG40,IF(D10=2,AK40,IF(D10=3,AO40,IF(D10=4,AS40))))</f>
        <v>0</v>
      </c>
      <c r="E40" s="1440" t="str">
        <f>IF(D10=1,"",IF(D40=F40,"",AD40))</f>
        <v/>
      </c>
      <c r="F40" s="1952" t="str">
        <f>IF(D10=1,"",IF(D10=2,AJ40,IF(D10=3,AN40,IF(D10=4,AR40))))</f>
        <v/>
      </c>
      <c r="G40" s="22">
        <f t="shared" si="0"/>
        <v>0</v>
      </c>
      <c r="H40" s="22"/>
      <c r="I40" s="2454"/>
      <c r="J40" s="1530">
        <v>27</v>
      </c>
      <c r="K40" s="15"/>
      <c r="L40" s="15"/>
      <c r="M40" s="15"/>
      <c r="N40" s="15"/>
      <c r="O40" s="15"/>
      <c r="P40" s="15"/>
      <c r="Q40" s="2455"/>
      <c r="S40" s="1953"/>
      <c r="T40" s="1282"/>
      <c r="U40" s="1284"/>
      <c r="V40" s="19"/>
      <c r="W40" s="626">
        <f t="shared" si="1"/>
        <v>0</v>
      </c>
      <c r="X40" s="331">
        <f>(W40/W46)*X11</f>
        <v>0</v>
      </c>
      <c r="Y40" s="18" t="str">
        <f>IF(ISBLANK(S40),"",(S40/W46)*X11)</f>
        <v/>
      </c>
      <c r="Z40" s="594">
        <f t="shared" si="10"/>
        <v>0</v>
      </c>
      <c r="AA40" s="1365">
        <f>W40/W46</f>
        <v>0</v>
      </c>
      <c r="AB40" s="630"/>
      <c r="AC40" s="624">
        <f>AB11</f>
        <v>0</v>
      </c>
      <c r="AD40" s="624">
        <f t="shared" si="7"/>
        <v>0</v>
      </c>
      <c r="AE40" s="1366">
        <f t="shared" si="8"/>
        <v>1</v>
      </c>
      <c r="AG40" s="623">
        <f>((W40/W11)*AI11)</f>
        <v>0</v>
      </c>
      <c r="AH40" s="18">
        <f>IF(ISTEXT(S40),S40,IF(ISBLANK(S40),0,(S40/W11)*AI11))</f>
        <v>0</v>
      </c>
      <c r="AI40" s="17">
        <f t="shared" si="2"/>
        <v>0</v>
      </c>
      <c r="AJ40" s="1413">
        <f t="shared" si="3"/>
        <v>0</v>
      </c>
      <c r="AK40" s="646">
        <f>(W40/W11)*AM11</f>
        <v>0</v>
      </c>
      <c r="AL40" s="18">
        <f>IF(ISBLANK(S40),0,(S40/W11)*AM11)</f>
        <v>0</v>
      </c>
      <c r="AM40" s="594">
        <f t="shared" si="4"/>
        <v>0</v>
      </c>
      <c r="AN40" s="646">
        <f t="shared" si="9"/>
        <v>0</v>
      </c>
      <c r="AO40" s="715">
        <f t="shared" si="5"/>
        <v>0</v>
      </c>
      <c r="AP40" s="18">
        <f>IF(ISBLANK(S40),0,(S40/W46)*AO47)</f>
        <v>0</v>
      </c>
      <c r="AQ40" s="594">
        <f t="shared" si="6"/>
        <v>0</v>
      </c>
      <c r="AR40" s="649" t="s">
        <v>588</v>
      </c>
      <c r="AS40" s="648" t="s">
        <v>589</v>
      </c>
      <c r="AT40" s="648" t="s">
        <v>587</v>
      </c>
      <c r="AU40" s="648">
        <v>3</v>
      </c>
      <c r="AW40" s="1911" t="s">
        <v>758</v>
      </c>
      <c r="AX40" s="1912">
        <f>ROW()</f>
        <v>40</v>
      </c>
    </row>
    <row r="41" spans="1:50" ht="18.95" customHeight="1">
      <c r="A41" s="2453"/>
      <c r="B41" s="1967">
        <f>IF(D10=1,AH41,IF(D10=2,AL41,IF(D10=3,AP41,IF(D10=4,AT41))))</f>
        <v>0</v>
      </c>
      <c r="C41" s="1438">
        <f>IF(D10=1,AI41,IF(D10=2,AM41,IF(D10=3,AQ41,IF(D10=4,AU41))))</f>
        <v>0</v>
      </c>
      <c r="D41" s="1951">
        <f>IF(D10=1,AG41,IF(D10=2,AK41,IF(D10=3,AO41,IF(D10=4,AS41))))</f>
        <v>0</v>
      </c>
      <c r="E41" s="1440" t="str">
        <f>IF(D10=1,"",IF(D41=F41,"",AD41))</f>
        <v/>
      </c>
      <c r="F41" s="1952" t="str">
        <f>IF(D10=1,"",IF(D10=2,AJ41,IF(D10=3,AN41,IF(D10=4,AR41))))</f>
        <v/>
      </c>
      <c r="G41" s="22">
        <f t="shared" si="0"/>
        <v>0</v>
      </c>
      <c r="H41" s="22"/>
      <c r="I41" s="2454"/>
      <c r="J41" s="1530">
        <v>28</v>
      </c>
      <c r="K41" s="15"/>
      <c r="L41" s="15"/>
      <c r="M41" s="15"/>
      <c r="N41" s="15"/>
      <c r="O41" s="15"/>
      <c r="P41" s="15"/>
      <c r="Q41" s="2455"/>
      <c r="S41" s="1953"/>
      <c r="T41" s="1282"/>
      <c r="U41" s="1284"/>
      <c r="V41" s="19"/>
      <c r="W41" s="626">
        <f t="shared" si="1"/>
        <v>0</v>
      </c>
      <c r="X41" s="331">
        <f>(W41/W46)*X11</f>
        <v>0</v>
      </c>
      <c r="Y41" s="18" t="str">
        <f>IF(ISBLANK(S41),"",(S41/W46)*X11)</f>
        <v/>
      </c>
      <c r="Z41" s="594">
        <f t="shared" si="10"/>
        <v>0</v>
      </c>
      <c r="AA41" s="1365">
        <f>W41/W46</f>
        <v>0</v>
      </c>
      <c r="AB41" s="630"/>
      <c r="AC41" s="624">
        <f>AB11</f>
        <v>0</v>
      </c>
      <c r="AD41" s="624">
        <f t="shared" si="7"/>
        <v>0</v>
      </c>
      <c r="AE41" s="1366">
        <f t="shared" si="8"/>
        <v>1</v>
      </c>
      <c r="AG41" s="623">
        <f>((W41/W11)*AI11)</f>
        <v>0</v>
      </c>
      <c r="AH41" s="18">
        <f>IF(ISTEXT(S41),S41,IF(ISBLANK(S41),0,(S41/W11)*AI11))</f>
        <v>0</v>
      </c>
      <c r="AI41" s="17">
        <f t="shared" si="2"/>
        <v>0</v>
      </c>
      <c r="AJ41" s="1413">
        <f t="shared" si="3"/>
        <v>0</v>
      </c>
      <c r="AK41" s="646">
        <f>(W41/W11)*AM11</f>
        <v>0</v>
      </c>
      <c r="AL41" s="18">
        <f>IF(ISBLANK(S41),0,(S41/W11)*AM11)</f>
        <v>0</v>
      </c>
      <c r="AM41" s="594">
        <f t="shared" si="4"/>
        <v>0</v>
      </c>
      <c r="AN41" s="646">
        <f t="shared" si="9"/>
        <v>0</v>
      </c>
      <c r="AO41" s="715">
        <f t="shared" si="5"/>
        <v>0</v>
      </c>
      <c r="AP41" s="18">
        <f>IF(ISBLANK(S41),0,(S41/W46)*AO47)</f>
        <v>0</v>
      </c>
      <c r="AQ41" s="594">
        <f t="shared" si="6"/>
        <v>0</v>
      </c>
      <c r="AR41" s="649" t="s">
        <v>588</v>
      </c>
      <c r="AS41" s="648" t="s">
        <v>589</v>
      </c>
      <c r="AT41" s="648" t="s">
        <v>587</v>
      </c>
      <c r="AU41" s="648">
        <v>3</v>
      </c>
      <c r="AW41" s="1909" t="s">
        <v>758</v>
      </c>
      <c r="AX41" s="1910">
        <f>ROW()</f>
        <v>41</v>
      </c>
    </row>
    <row r="42" spans="1:50" ht="18.95" customHeight="1">
      <c r="A42" s="2453"/>
      <c r="B42" s="1967">
        <f>IF(D10=1,AH42,IF(D10=2,AL42,IF(D10=3,AP42,IF(D10=4,AT42))))</f>
        <v>0</v>
      </c>
      <c r="C42" s="1438">
        <f>IF(D10=1,AI42,IF(D10=2,AM42,IF(D10=3,AQ42,IF(D10=4,AU42))))</f>
        <v>0</v>
      </c>
      <c r="D42" s="1951">
        <f>IF(D10=1,AG42,IF(D10=2,AK42,IF(D10=3,AO42,IF(D10=4,AS42))))</f>
        <v>0</v>
      </c>
      <c r="E42" s="1440" t="str">
        <f>IF(D10=1,"",IF(D42=F42,"",AD42))</f>
        <v/>
      </c>
      <c r="F42" s="1952" t="str">
        <f>IF(D10=1,"",IF(D10=2,AJ42,IF(D10=3,AN42,IF(D10=4,AR42))))</f>
        <v/>
      </c>
      <c r="G42" s="22">
        <f t="shared" si="0"/>
        <v>0</v>
      </c>
      <c r="H42" s="22"/>
      <c r="I42" s="2454"/>
      <c r="J42" s="1530">
        <v>29</v>
      </c>
      <c r="K42" s="15"/>
      <c r="L42" s="15"/>
      <c r="M42" s="15"/>
      <c r="N42" s="15"/>
      <c r="O42" s="15"/>
      <c r="P42" s="15"/>
      <c r="Q42" s="2455"/>
      <c r="S42" s="1953"/>
      <c r="T42" s="1282"/>
      <c r="U42" s="1284"/>
      <c r="V42" s="19"/>
      <c r="W42" s="626">
        <f t="shared" si="1"/>
        <v>0</v>
      </c>
      <c r="X42" s="331">
        <f>(W42/W46)*X11</f>
        <v>0</v>
      </c>
      <c r="Y42" s="18" t="str">
        <f>IF(ISBLANK(S42),"",(S42/W46)*X11)</f>
        <v/>
      </c>
      <c r="Z42" s="594">
        <f t="shared" si="10"/>
        <v>0</v>
      </c>
      <c r="AA42" s="1365">
        <f>W42/W46</f>
        <v>0</v>
      </c>
      <c r="AB42" s="630"/>
      <c r="AC42" s="624">
        <f>AB11</f>
        <v>0</v>
      </c>
      <c r="AD42" s="624">
        <f t="shared" si="7"/>
        <v>0</v>
      </c>
      <c r="AE42" s="1366">
        <f t="shared" si="8"/>
        <v>1</v>
      </c>
      <c r="AG42" s="623">
        <f>((W42/W11)*AI11)</f>
        <v>0</v>
      </c>
      <c r="AH42" s="18">
        <f>IF(ISTEXT(S42),S42,IF(ISBLANK(S42),0,(S42/W11)*AI11))</f>
        <v>0</v>
      </c>
      <c r="AI42" s="17">
        <f t="shared" si="2"/>
        <v>0</v>
      </c>
      <c r="AJ42" s="1413">
        <f t="shared" si="3"/>
        <v>0</v>
      </c>
      <c r="AK42" s="646">
        <f>(W42/W11)*AM11</f>
        <v>0</v>
      </c>
      <c r="AL42" s="18">
        <f>IF(ISBLANK(S42),0,(S42/W11)*AM11)</f>
        <v>0</v>
      </c>
      <c r="AM42" s="594">
        <f t="shared" si="4"/>
        <v>0</v>
      </c>
      <c r="AN42" s="646">
        <f t="shared" si="9"/>
        <v>0</v>
      </c>
      <c r="AO42" s="715">
        <f t="shared" si="5"/>
        <v>0</v>
      </c>
      <c r="AP42" s="18">
        <f>IF(ISBLANK(S42),0,(S42/W46)*AO47)</f>
        <v>0</v>
      </c>
      <c r="AQ42" s="594">
        <f t="shared" si="6"/>
        <v>0</v>
      </c>
      <c r="AR42" s="649" t="s">
        <v>588</v>
      </c>
      <c r="AS42" s="648" t="s">
        <v>589</v>
      </c>
      <c r="AT42" s="648" t="s">
        <v>587</v>
      </c>
      <c r="AU42" s="648">
        <v>3</v>
      </c>
      <c r="AW42" s="1911" t="s">
        <v>758</v>
      </c>
      <c r="AX42" s="1912">
        <f>ROW()</f>
        <v>42</v>
      </c>
    </row>
    <row r="43" spans="1:50" ht="18.95" customHeight="1">
      <c r="A43" s="2453"/>
      <c r="B43" s="1967">
        <f>IF(D10=1,AH43,IF(D10=2,AL43,IF(D10=3,AP43,IF(D10=4,AT43))))</f>
        <v>0</v>
      </c>
      <c r="C43" s="1438">
        <f>IF(D10=1,AI43,IF(D10=2,AM43,IF(D10=3,AQ43,IF(D10=4,AU43))))</f>
        <v>0</v>
      </c>
      <c r="D43" s="1951">
        <f>IF(D10=1,AG43,IF(D10=2,AK43,IF(D10=3,AO43,IF(D10=4,AS43))))</f>
        <v>0</v>
      </c>
      <c r="E43" s="1440" t="str">
        <f>IF(D10=1,"",IF(D43=F43,"",AD43))</f>
        <v/>
      </c>
      <c r="F43" s="1952" t="str">
        <f>IF(D10=1,"",IF(D10=2,AJ43,IF(D10=3,AN43,IF(D10=4,AR43))))</f>
        <v/>
      </c>
      <c r="G43" s="22">
        <f t="shared" si="0"/>
        <v>0</v>
      </c>
      <c r="H43" s="22"/>
      <c r="I43" s="2454"/>
      <c r="J43" s="1530">
        <v>30</v>
      </c>
      <c r="K43" s="15"/>
      <c r="L43" s="15"/>
      <c r="M43" s="15"/>
      <c r="N43" s="15"/>
      <c r="O43" s="15"/>
      <c r="P43" s="15"/>
      <c r="Q43" s="2455"/>
      <c r="S43" s="1953"/>
      <c r="T43" s="1282"/>
      <c r="U43" s="1284"/>
      <c r="V43" s="19"/>
      <c r="W43" s="626">
        <f t="shared" si="1"/>
        <v>0</v>
      </c>
      <c r="X43" s="331">
        <f>(W43/W46)*X11</f>
        <v>0</v>
      </c>
      <c r="Y43" s="18" t="str">
        <f>IF(ISBLANK(S43),"",(S43/W46)*X11)</f>
        <v/>
      </c>
      <c r="Z43" s="594">
        <f t="shared" si="10"/>
        <v>0</v>
      </c>
      <c r="AA43" s="1365">
        <f>W43/W46</f>
        <v>0</v>
      </c>
      <c r="AB43" s="630"/>
      <c r="AC43" s="624">
        <f>AB11</f>
        <v>0</v>
      </c>
      <c r="AD43" s="624">
        <f t="shared" si="7"/>
        <v>0</v>
      </c>
      <c r="AE43" s="1366">
        <f t="shared" si="8"/>
        <v>1</v>
      </c>
      <c r="AG43" s="623">
        <f>((W43/W11)*AI11)</f>
        <v>0</v>
      </c>
      <c r="AH43" s="18">
        <f>IF(ISTEXT(S43),S43,IF(ISBLANK(S43),0,(S43/W11)*AI11))</f>
        <v>0</v>
      </c>
      <c r="AI43" s="17">
        <f t="shared" si="2"/>
        <v>0</v>
      </c>
      <c r="AJ43" s="1413">
        <f t="shared" si="3"/>
        <v>0</v>
      </c>
      <c r="AK43" s="646">
        <f>(W43/W11)*AM11</f>
        <v>0</v>
      </c>
      <c r="AL43" s="18">
        <f>IF(ISBLANK(S43),0,(S43/W11)*AM11)</f>
        <v>0</v>
      </c>
      <c r="AM43" s="594">
        <f t="shared" si="4"/>
        <v>0</v>
      </c>
      <c r="AN43" s="646">
        <f t="shared" si="9"/>
        <v>0</v>
      </c>
      <c r="AO43" s="715">
        <f t="shared" si="5"/>
        <v>0</v>
      </c>
      <c r="AP43" s="18">
        <f t="shared" ref="AP43:AP45" si="11">IF(ISBLANK(S43),0,(S43/W47)*AO48)</f>
        <v>0</v>
      </c>
      <c r="AQ43" s="594">
        <f t="shared" si="6"/>
        <v>0</v>
      </c>
      <c r="AR43" s="649" t="s">
        <v>588</v>
      </c>
      <c r="AS43" s="648" t="s">
        <v>589</v>
      </c>
      <c r="AT43" s="648" t="s">
        <v>587</v>
      </c>
      <c r="AU43" s="648">
        <v>3</v>
      </c>
      <c r="AW43" s="1909" t="s">
        <v>758</v>
      </c>
      <c r="AX43" s="1910">
        <f>ROW()</f>
        <v>43</v>
      </c>
    </row>
    <row r="44" spans="1:50" ht="18.95" customHeight="1">
      <c r="A44" s="2453"/>
      <c r="B44" s="1967">
        <f>IF(D10=1,AH44,IF(D10=2,AL44,IF(D10=3,AP44,IF(D10=4,AT44))))</f>
        <v>0</v>
      </c>
      <c r="C44" s="1438">
        <f>IF(D10=1,AI44,IF(D10=2,AM44,IF(D10=3,AQ44,IF(D10=4,AU44))))</f>
        <v>0</v>
      </c>
      <c r="D44" s="1951">
        <f>IF(D10=1,AG44,IF(D10=2,AK44,IF(D10=3,AO44,IF(D10=4,AS44))))</f>
        <v>0</v>
      </c>
      <c r="E44" s="1440" t="str">
        <f>IF(D10=1,"",IF(D44=F44,"",AD44))</f>
        <v/>
      </c>
      <c r="F44" s="1952" t="str">
        <f>IF(D10=1,"",IF(D10=2,AJ44,IF(D10=3,AN44,IF(D10=4,AR44))))</f>
        <v/>
      </c>
      <c r="G44" s="22">
        <f t="shared" si="0"/>
        <v>0</v>
      </c>
      <c r="H44" s="22"/>
      <c r="I44" s="2454"/>
      <c r="J44" s="1530">
        <v>31</v>
      </c>
      <c r="K44" s="21" t="s">
        <v>28</v>
      </c>
      <c r="L44" s="15"/>
      <c r="M44" s="15"/>
      <c r="N44" s="15"/>
      <c r="O44" s="15"/>
      <c r="P44" s="15"/>
      <c r="Q44" s="2455"/>
      <c r="S44" s="1953"/>
      <c r="T44" s="1282"/>
      <c r="U44" s="1284"/>
      <c r="V44" s="19"/>
      <c r="W44" s="626">
        <f t="shared" si="1"/>
        <v>0</v>
      </c>
      <c r="X44" s="331">
        <f>(W44/W46)*X11</f>
        <v>0</v>
      </c>
      <c r="Y44" s="18" t="str">
        <f>IF(ISBLANK(S44),"",(S44/W46)*X11)</f>
        <v/>
      </c>
      <c r="Z44" s="594">
        <f t="shared" si="10"/>
        <v>0</v>
      </c>
      <c r="AA44" s="1365">
        <f>W44/W46</f>
        <v>0</v>
      </c>
      <c r="AB44" s="630"/>
      <c r="AC44" s="624">
        <f>AB11</f>
        <v>0</v>
      </c>
      <c r="AD44" s="624">
        <f t="shared" si="7"/>
        <v>0</v>
      </c>
      <c r="AE44" s="1366">
        <f t="shared" si="8"/>
        <v>1</v>
      </c>
      <c r="AG44" s="623">
        <f>((W44/W11)*AI11)</f>
        <v>0</v>
      </c>
      <c r="AH44" s="18">
        <f>IF(ISTEXT(S44),S44,IF(ISBLANK(S44),0,(S44/W11)*AI11))</f>
        <v>0</v>
      </c>
      <c r="AI44" s="17">
        <f t="shared" si="2"/>
        <v>0</v>
      </c>
      <c r="AJ44" s="1413">
        <f t="shared" si="3"/>
        <v>0</v>
      </c>
      <c r="AK44" s="646">
        <f>(W44/W11)*AM11</f>
        <v>0</v>
      </c>
      <c r="AL44" s="18">
        <f>IF(ISBLANK(S44),0,(S44/W11)*AM11)</f>
        <v>0</v>
      </c>
      <c r="AM44" s="594">
        <f t="shared" si="4"/>
        <v>0</v>
      </c>
      <c r="AN44" s="646">
        <f t="shared" si="9"/>
        <v>0</v>
      </c>
      <c r="AO44" s="715">
        <f t="shared" si="5"/>
        <v>0</v>
      </c>
      <c r="AP44" s="18">
        <f t="shared" si="11"/>
        <v>0</v>
      </c>
      <c r="AQ44" s="594">
        <f t="shared" si="6"/>
        <v>0</v>
      </c>
      <c r="AR44" s="649" t="s">
        <v>588</v>
      </c>
      <c r="AS44" s="648" t="s">
        <v>589</v>
      </c>
      <c r="AT44" s="648" t="s">
        <v>587</v>
      </c>
      <c r="AU44" s="648">
        <v>3</v>
      </c>
      <c r="AW44" s="1911" t="s">
        <v>758</v>
      </c>
      <c r="AX44" s="1912">
        <f>ROW()</f>
        <v>44</v>
      </c>
    </row>
    <row r="45" spans="1:50" ht="18.95" customHeight="1">
      <c r="A45" s="2453"/>
      <c r="B45" s="1967">
        <f>IF(D10=1,AH45,IF(D10=2,AL45,IF(D10=3,AP45,IF(D10=4,AT45))))</f>
        <v>0</v>
      </c>
      <c r="C45" s="1438">
        <f>IF(D10=1,AI45,IF(D10=2,AM45,IF(D10=3,AQ45,IF(D10=4,AU45))))</f>
        <v>0</v>
      </c>
      <c r="D45" s="1951">
        <f>IF(D10=1,AG45,IF(D10=2,AK45,IF(D10=3,AO45,IF(D10=4,AS45))))</f>
        <v>0</v>
      </c>
      <c r="E45" s="1440" t="str">
        <f>IF(D10=1,"",IF(D45=F45,"",AD45))</f>
        <v/>
      </c>
      <c r="F45" s="1952" t="str">
        <f>IF(D10=1,"",IF(D10=2,AJ45,IF(D10=3,AN45,IF(D10=4,AR45))))</f>
        <v/>
      </c>
      <c r="G45" s="22">
        <f t="shared" si="0"/>
        <v>0</v>
      </c>
      <c r="H45" s="22"/>
      <c r="I45" s="2454"/>
      <c r="J45" s="1530">
        <v>32</v>
      </c>
      <c r="K45" s="16" t="s">
        <v>23</v>
      </c>
      <c r="L45" s="15"/>
      <c r="M45" s="15"/>
      <c r="N45" s="15"/>
      <c r="O45" s="15"/>
      <c r="P45" s="15"/>
      <c r="Q45" s="2455"/>
      <c r="S45" s="1953"/>
      <c r="T45" s="1282"/>
      <c r="U45" s="1284"/>
      <c r="V45" s="19"/>
      <c r="W45" s="626">
        <f t="shared" si="1"/>
        <v>0</v>
      </c>
      <c r="X45" s="331">
        <f>(W45/W46)*X11</f>
        <v>0</v>
      </c>
      <c r="Y45" s="18" t="str">
        <f>IF(ISBLANK(S45),"",(S45/W46)*X11)</f>
        <v/>
      </c>
      <c r="Z45" s="594">
        <f t="shared" si="10"/>
        <v>0</v>
      </c>
      <c r="AA45" s="1365">
        <f>W45/W46</f>
        <v>0</v>
      </c>
      <c r="AB45" s="630"/>
      <c r="AC45" s="624">
        <f>AB11</f>
        <v>0</v>
      </c>
      <c r="AD45" s="624">
        <f t="shared" si="7"/>
        <v>0</v>
      </c>
      <c r="AE45" s="1366">
        <f t="shared" si="8"/>
        <v>1</v>
      </c>
      <c r="AF45" s="344"/>
      <c r="AG45" s="623">
        <f>((W45/W11)*AI11)</f>
        <v>0</v>
      </c>
      <c r="AH45" s="18">
        <f>IF(ISTEXT(S45),S45,IF(ISBLANK(S45),0,(S45/W11)*AI11))</f>
        <v>0</v>
      </c>
      <c r="AI45" s="17">
        <f t="shared" si="2"/>
        <v>0</v>
      </c>
      <c r="AJ45" s="1413">
        <f t="shared" si="3"/>
        <v>0</v>
      </c>
      <c r="AK45" s="646">
        <f>(W45/W11)*AM11</f>
        <v>0</v>
      </c>
      <c r="AL45" s="18">
        <f>IF(ISBLANK(S45),0,(S45/W11)*AM11)</f>
        <v>0</v>
      </c>
      <c r="AM45" s="594">
        <f t="shared" si="4"/>
        <v>0</v>
      </c>
      <c r="AN45" s="646">
        <f t="shared" si="9"/>
        <v>0</v>
      </c>
      <c r="AO45" s="715">
        <f t="shared" si="5"/>
        <v>0</v>
      </c>
      <c r="AP45" s="18">
        <f t="shared" si="11"/>
        <v>0</v>
      </c>
      <c r="AQ45" s="594">
        <f t="shared" si="6"/>
        <v>0</v>
      </c>
      <c r="AR45" s="649" t="s">
        <v>588</v>
      </c>
      <c r="AS45" s="648" t="s">
        <v>589</v>
      </c>
      <c r="AT45" s="648" t="s">
        <v>587</v>
      </c>
      <c r="AU45" s="648">
        <v>3</v>
      </c>
      <c r="AW45" s="791" t="s">
        <v>755</v>
      </c>
      <c r="AX45" s="1942">
        <f>ROW()</f>
        <v>45</v>
      </c>
    </row>
    <row r="46" spans="1:50" ht="19.5" customHeight="1">
      <c r="A46" s="2453"/>
      <c r="B46" s="1954" t="s">
        <v>22</v>
      </c>
      <c r="C46" s="606" t="s">
        <v>575</v>
      </c>
      <c r="D46" s="606" t="s">
        <v>585</v>
      </c>
      <c r="E46" s="635" t="s">
        <v>583</v>
      </c>
      <c r="F46" s="606" t="s">
        <v>584</v>
      </c>
      <c r="G46" s="606"/>
      <c r="H46" s="606"/>
      <c r="I46" s="2454"/>
      <c r="J46" s="1530">
        <v>33</v>
      </c>
      <c r="K46" s="8" t="s">
        <v>15</v>
      </c>
      <c r="L46" s="7" t="s">
        <v>9</v>
      </c>
      <c r="M46" s="7"/>
      <c r="N46" s="7"/>
      <c r="O46" s="6"/>
      <c r="P46" s="15"/>
      <c r="Q46" s="2455"/>
      <c r="S46" s="1537"/>
      <c r="T46" s="13"/>
      <c r="U46" s="653">
        <f>SUM(U13:U45)/1000</f>
        <v>1.77</v>
      </c>
      <c r="V46" s="13"/>
      <c r="W46" s="627">
        <f>SUM(W13:W45)</f>
        <v>1880</v>
      </c>
      <c r="X46" s="597"/>
      <c r="Y46" s="597"/>
      <c r="Z46" s="598"/>
      <c r="AA46" s="632"/>
      <c r="AB46" s="1296">
        <f>COUNTIF(AD13:AD42,"&gt;0")</f>
        <v>0</v>
      </c>
      <c r="AC46" s="631"/>
      <c r="AD46" s="621"/>
      <c r="AE46" s="598"/>
      <c r="AG46" s="607" t="s">
        <v>22</v>
      </c>
      <c r="AH46" s="621"/>
      <c r="AI46" s="621"/>
      <c r="AJ46" s="607" t="s">
        <v>22</v>
      </c>
      <c r="AK46" s="606" t="s">
        <v>22</v>
      </c>
      <c r="AL46" s="606" t="s">
        <v>225</v>
      </c>
      <c r="AM46" s="604" t="s">
        <v>575</v>
      </c>
      <c r="AN46" s="607" t="s">
        <v>22</v>
      </c>
      <c r="AO46" s="606" t="s">
        <v>22</v>
      </c>
      <c r="AP46" s="606" t="s">
        <v>225</v>
      </c>
      <c r="AQ46" s="604" t="s">
        <v>575</v>
      </c>
      <c r="AR46" s="606"/>
      <c r="AS46" s="618"/>
      <c r="AT46" s="606"/>
      <c r="AU46" s="606"/>
      <c r="AW46" s="791" t="s">
        <v>755</v>
      </c>
      <c r="AX46" s="1942">
        <f>ROW()</f>
        <v>46</v>
      </c>
    </row>
    <row r="47" spans="1:50" ht="19.5" customHeight="1">
      <c r="A47" s="2453"/>
      <c r="B47" s="1955">
        <f>SUM(B13:B45)</f>
        <v>1.8000000000000003</v>
      </c>
      <c r="C47" s="3" t="str">
        <f>IF((F47)=0,"",(D47-F47))</f>
        <v/>
      </c>
      <c r="D47" s="3">
        <f>SUM(D13:D45)</f>
        <v>752</v>
      </c>
      <c r="E47" s="636" t="e">
        <f>C47/D47</f>
        <v>#VALUE!</v>
      </c>
      <c r="F47" s="3">
        <f>SUM(F13:F45)</f>
        <v>0</v>
      </c>
      <c r="G47" s="1429" t="s">
        <v>1727</v>
      </c>
      <c r="H47" s="606"/>
      <c r="I47" s="2454"/>
      <c r="J47" s="606"/>
      <c r="K47" s="606"/>
      <c r="L47" s="606"/>
      <c r="M47" s="606"/>
      <c r="N47" s="606"/>
      <c r="O47" s="606"/>
      <c r="P47" s="606"/>
      <c r="Q47" s="2455"/>
      <c r="S47" s="2437" t="s">
        <v>6</v>
      </c>
      <c r="T47" s="1368" t="s">
        <v>5</v>
      </c>
      <c r="U47" s="1368"/>
      <c r="V47" s="1368"/>
      <c r="W47" s="780"/>
      <c r="X47" s="3">
        <f>SUM(X13:X46)</f>
        <v>999.99999999999977</v>
      </c>
      <c r="Y47" s="5">
        <f>SUM(Y13:Y46)</f>
        <v>2.3936170212765955</v>
      </c>
      <c r="Z47" s="599" t="s">
        <v>14</v>
      </c>
      <c r="AA47" s="633"/>
      <c r="AB47" s="1956">
        <f>COUNTIF(AD13:AD45,"&gt;0")</f>
        <v>0</v>
      </c>
      <c r="AC47" s="1299"/>
      <c r="AD47" s="4"/>
      <c r="AE47" s="599"/>
      <c r="AG47" s="647">
        <f>SUM(AG13:AG45)</f>
        <v>752</v>
      </c>
      <c r="AH47" s="4"/>
      <c r="AI47" s="4"/>
      <c r="AJ47" s="647">
        <f>SUM(AJ13:AJ45)</f>
        <v>752</v>
      </c>
      <c r="AK47" s="3">
        <f>SUM(AK13:AK45)</f>
        <v>752</v>
      </c>
      <c r="AL47" s="605">
        <f>(AM47/AK47%)</f>
        <v>0</v>
      </c>
      <c r="AM47" s="596">
        <f>AK47-AJ47</f>
        <v>0</v>
      </c>
      <c r="AN47" s="595">
        <f>SUM(AN13:AN45)</f>
        <v>752</v>
      </c>
      <c r="AO47" s="3">
        <f>SUM(AO13:AO45)</f>
        <v>752</v>
      </c>
      <c r="AP47" s="717">
        <f>(AQ47/AO47%)</f>
        <v>0</v>
      </c>
      <c r="AQ47" s="596">
        <f>AO47-AN47</f>
        <v>0</v>
      </c>
      <c r="AR47" s="650"/>
      <c r="AS47" s="651"/>
      <c r="AT47" s="650"/>
      <c r="AU47" s="652"/>
      <c r="AW47" s="791" t="s">
        <v>755</v>
      </c>
      <c r="AX47" s="1942">
        <f>ROW()</f>
        <v>47</v>
      </c>
    </row>
    <row r="48" spans="1:50" ht="19.5" customHeight="1" thickBot="1">
      <c r="A48" s="2453"/>
      <c r="B48" s="1957"/>
      <c r="C48" s="1508"/>
      <c r="D48" s="1508"/>
      <c r="E48" s="1508"/>
      <c r="F48" s="1508"/>
      <c r="G48" s="1508"/>
      <c r="H48" s="1958"/>
      <c r="I48" s="2454"/>
      <c r="J48" s="1957"/>
      <c r="K48" s="1508"/>
      <c r="L48" s="1508"/>
      <c r="M48" s="1508"/>
      <c r="N48" s="1508"/>
      <c r="O48" s="1508"/>
      <c r="P48" s="1958"/>
      <c r="Q48" s="1087" t="s">
        <v>818</v>
      </c>
      <c r="S48" s="2438"/>
      <c r="T48" s="1285" t="s">
        <v>5</v>
      </c>
      <c r="U48" s="1285"/>
      <c r="V48" s="1285"/>
      <c r="W48" s="1920"/>
      <c r="X48" s="1487"/>
      <c r="Y48" s="1488"/>
      <c r="Z48" s="1489"/>
      <c r="AA48" s="1489"/>
      <c r="AB48" s="1490"/>
      <c r="AC48" s="1490"/>
      <c r="AD48" s="1489"/>
      <c r="AE48" s="1491"/>
      <c r="AG48" s="1492"/>
      <c r="AH48" s="1489"/>
      <c r="AI48" s="1491"/>
      <c r="AJ48" s="1489"/>
      <c r="AK48" s="1489"/>
      <c r="AL48" s="1489"/>
      <c r="AM48" s="1491"/>
      <c r="AN48" s="1489"/>
      <c r="AO48" s="1489"/>
      <c r="AP48" s="1489"/>
      <c r="AQ48" s="1491"/>
      <c r="AR48" s="1489"/>
      <c r="AS48" s="1489"/>
      <c r="AT48" s="1489"/>
      <c r="AU48" s="1489"/>
      <c r="AW48" s="791" t="s">
        <v>755</v>
      </c>
      <c r="AX48" s="1942">
        <f>ROW()</f>
        <v>48</v>
      </c>
    </row>
    <row r="49" spans="19:30" ht="30" customHeight="1" thickBot="1"/>
    <row r="50" spans="19:30" ht="23.25">
      <c r="S50" s="1323" t="str">
        <f>ADDRESS(ROW(),COLUMN(),4)</f>
        <v>S50</v>
      </c>
      <c r="T50" s="2439" t="s">
        <v>1569</v>
      </c>
      <c r="U50" s="2439"/>
      <c r="V50" s="2439"/>
      <c r="W50" s="2440"/>
      <c r="Y50" s="2413" t="s">
        <v>726</v>
      </c>
      <c r="Z50" s="2414"/>
      <c r="AA50" s="2414"/>
      <c r="AB50" s="2414"/>
      <c r="AC50" s="2414"/>
      <c r="AD50" s="2415"/>
    </row>
    <row r="51" spans="19:30">
      <c r="S51" s="1322" t="s">
        <v>1705</v>
      </c>
      <c r="T51" s="2441"/>
      <c r="U51" s="2441"/>
      <c r="V51" s="2441"/>
      <c r="W51" s="2442"/>
      <c r="Y51" s="2416" t="s">
        <v>722</v>
      </c>
      <c r="Z51" s="2417"/>
      <c r="AA51" s="725" t="s">
        <v>725</v>
      </c>
      <c r="AB51" s="1945" t="s">
        <v>721</v>
      </c>
      <c r="AC51" s="2418" t="s">
        <v>66</v>
      </c>
      <c r="AD51" s="2419"/>
    </row>
    <row r="52" spans="19:30">
      <c r="S52" s="2380" t="s">
        <v>144</v>
      </c>
      <c r="T52" s="2381"/>
      <c r="U52" s="2381"/>
      <c r="V52" s="2381"/>
      <c r="W52" s="2382"/>
      <c r="Y52" s="2429">
        <v>20</v>
      </c>
      <c r="Z52" s="2424">
        <f>Y52/100</f>
        <v>0.2</v>
      </c>
      <c r="AA52" s="1068" t="s">
        <v>206</v>
      </c>
      <c r="AB52" s="724">
        <v>1</v>
      </c>
      <c r="AC52" s="1107">
        <f>(Y52*AB52)*10</f>
        <v>200</v>
      </c>
      <c r="AD52" s="1109">
        <f>AC52/1000</f>
        <v>0.2</v>
      </c>
    </row>
    <row r="53" spans="19:30">
      <c r="S53" s="2380"/>
      <c r="T53" s="2381"/>
      <c r="U53" s="2381"/>
      <c r="V53" s="2381"/>
      <c r="W53" s="2382"/>
      <c r="Y53" s="2429"/>
      <c r="Z53" s="2424"/>
      <c r="AA53" s="1068" t="s">
        <v>727</v>
      </c>
      <c r="AB53" s="724">
        <v>1.03</v>
      </c>
      <c r="AC53" s="1107">
        <f>(Y52*AB53)*10</f>
        <v>206</v>
      </c>
      <c r="AD53" s="1109">
        <f t="shared" ref="AD53:AD56" si="12">AC53/1000</f>
        <v>0.20599999999999999</v>
      </c>
    </row>
    <row r="54" spans="19:30">
      <c r="S54" s="2431" t="s">
        <v>1602</v>
      </c>
      <c r="T54" s="2432"/>
      <c r="U54" s="2432"/>
      <c r="V54" s="2432"/>
      <c r="W54" s="2433"/>
      <c r="Y54" s="2429"/>
      <c r="Z54" s="2424"/>
      <c r="AA54" s="1068" t="s">
        <v>728</v>
      </c>
      <c r="AB54" s="724">
        <v>1.0149999999999999</v>
      </c>
      <c r="AC54" s="1107">
        <f>(AB54*Y52)*10</f>
        <v>202.99999999999997</v>
      </c>
      <c r="AD54" s="1109">
        <f t="shared" si="12"/>
        <v>0.20299999999999996</v>
      </c>
    </row>
    <row r="55" spans="19:30">
      <c r="S55" s="2431"/>
      <c r="T55" s="2432"/>
      <c r="U55" s="2432"/>
      <c r="V55" s="2432"/>
      <c r="W55" s="2433"/>
      <c r="Y55" s="2429"/>
      <c r="Z55" s="2424"/>
      <c r="AA55" s="1068" t="s">
        <v>723</v>
      </c>
      <c r="AB55" s="724">
        <v>0.92</v>
      </c>
      <c r="AC55" s="1107">
        <f>(AB55*Y52)*10</f>
        <v>184.00000000000003</v>
      </c>
      <c r="AD55" s="1109">
        <f t="shared" si="12"/>
        <v>0.18400000000000002</v>
      </c>
    </row>
    <row r="56" spans="19:30" ht="19.5" thickBot="1">
      <c r="S56" s="2434" t="s">
        <v>1603</v>
      </c>
      <c r="T56" s="2435"/>
      <c r="U56" s="2435"/>
      <c r="V56" s="2435"/>
      <c r="W56" s="2436"/>
      <c r="Y56" s="2430"/>
      <c r="Z56" s="2425"/>
      <c r="AA56" s="1069" t="s">
        <v>724</v>
      </c>
      <c r="AB56" s="900">
        <v>0.8</v>
      </c>
      <c r="AC56" s="1108">
        <f>(AB56*Y52)*10</f>
        <v>160</v>
      </c>
      <c r="AD56" s="1110">
        <f t="shared" si="12"/>
        <v>0.16</v>
      </c>
    </row>
    <row r="57" spans="19:30" ht="19.5" thickBot="1">
      <c r="S57" s="1128"/>
      <c r="T57" s="1126"/>
      <c r="U57" s="1126"/>
      <c r="V57" s="1126"/>
      <c r="W57" s="1129"/>
    </row>
    <row r="58" spans="19:30" ht="18.75">
      <c r="S58" s="2411" t="s">
        <v>1605</v>
      </c>
      <c r="T58" s="2412"/>
      <c r="U58" s="2412"/>
      <c r="V58" s="2412"/>
      <c r="W58" s="1127" t="str">
        <f>LEFT(ADDRESS(1,COLUMN(),4),LEN(ADDRESS(1,COLUMN(),4))-1)</f>
        <v>W</v>
      </c>
      <c r="Y58" s="2413" t="s">
        <v>726</v>
      </c>
      <c r="Z58" s="2414"/>
      <c r="AA58" s="2414"/>
      <c r="AB58" s="2414"/>
      <c r="AC58" s="2414"/>
      <c r="AD58" s="2415"/>
    </row>
    <row r="59" spans="19:30">
      <c r="S59" s="734" t="s">
        <v>1593</v>
      </c>
      <c r="T59" s="1"/>
      <c r="U59" s="1"/>
      <c r="V59" s="1"/>
      <c r="W59" s="2"/>
      <c r="Y59" s="2416" t="s">
        <v>722</v>
      </c>
      <c r="Z59" s="2417"/>
      <c r="AA59" s="725" t="s">
        <v>725</v>
      </c>
      <c r="AB59" s="1945" t="s">
        <v>721</v>
      </c>
      <c r="AC59" s="2418" t="s">
        <v>66</v>
      </c>
      <c r="AD59" s="2419"/>
    </row>
    <row r="60" spans="19:30">
      <c r="S60" s="2420" t="s">
        <v>1604</v>
      </c>
      <c r="T60" s="2421"/>
      <c r="U60" s="2421"/>
      <c r="V60" s="2421"/>
      <c r="W60" s="2"/>
      <c r="Y60" s="2422">
        <v>10</v>
      </c>
      <c r="Z60" s="2424">
        <f>Y60/10</f>
        <v>1</v>
      </c>
      <c r="AA60" s="1068" t="s">
        <v>206</v>
      </c>
      <c r="AB60" s="724">
        <v>1</v>
      </c>
      <c r="AC60" s="1107">
        <f>(Y60*AB60)*100</f>
        <v>1000</v>
      </c>
      <c r="AD60" s="1109">
        <f>AC60/1000</f>
        <v>1</v>
      </c>
    </row>
    <row r="61" spans="19:30">
      <c r="S61" s="2420"/>
      <c r="T61" s="2421"/>
      <c r="U61" s="2421"/>
      <c r="V61" s="2421"/>
      <c r="W61" s="2"/>
      <c r="Y61" s="2422"/>
      <c r="Z61" s="2424"/>
      <c r="AA61" s="1068" t="s">
        <v>727</v>
      </c>
      <c r="AB61" s="724">
        <v>1.03</v>
      </c>
      <c r="AC61" s="1107">
        <f>(Y60*AB61)*100</f>
        <v>1030</v>
      </c>
      <c r="AD61" s="1109">
        <f t="shared" ref="AD61:AD64" si="13">AC61/1000</f>
        <v>1.03</v>
      </c>
    </row>
    <row r="62" spans="19:30">
      <c r="S62" s="2420"/>
      <c r="T62" s="2421"/>
      <c r="U62" s="2421"/>
      <c r="V62" s="2421"/>
      <c r="W62" s="2"/>
      <c r="Y62" s="2422"/>
      <c r="Z62" s="2424"/>
      <c r="AA62" s="1068" t="s">
        <v>728</v>
      </c>
      <c r="AB62" s="724">
        <v>1.0149999999999999</v>
      </c>
      <c r="AC62" s="1107">
        <f>(AB62*Y60)*100</f>
        <v>1014.9999999999999</v>
      </c>
      <c r="AD62" s="1109">
        <f t="shared" si="13"/>
        <v>1.0149999999999999</v>
      </c>
    </row>
    <row r="63" spans="19:30" ht="15.75">
      <c r="S63" s="1086" t="s">
        <v>1594</v>
      </c>
      <c r="T63" s="1"/>
      <c r="U63" s="1"/>
      <c r="V63" s="1"/>
      <c r="W63" s="2"/>
      <c r="Y63" s="2422"/>
      <c r="Z63" s="2424"/>
      <c r="AA63" s="1068" t="s">
        <v>723</v>
      </c>
      <c r="AB63" s="724">
        <v>0.92</v>
      </c>
      <c r="AC63" s="1107">
        <f>(AB63*Y60)*100</f>
        <v>920.00000000000011</v>
      </c>
      <c r="AD63" s="1109">
        <f t="shared" si="13"/>
        <v>0.92000000000000015</v>
      </c>
    </row>
    <row r="64" spans="19:30" ht="15.75" thickBot="1">
      <c r="S64" s="1918"/>
      <c r="T64" s="1131"/>
      <c r="U64" s="1131"/>
      <c r="V64" s="1131"/>
      <c r="W64" s="1919"/>
      <c r="Y64" s="2423"/>
      <c r="Z64" s="2425"/>
      <c r="AA64" s="1069" t="s">
        <v>724</v>
      </c>
      <c r="AB64" s="900">
        <v>0.8</v>
      </c>
      <c r="AC64" s="1108">
        <f>(AB64*Y60)*100</f>
        <v>800</v>
      </c>
      <c r="AD64" s="1110">
        <f t="shared" si="13"/>
        <v>0.8</v>
      </c>
    </row>
    <row r="65" spans="19:23" ht="18.75">
      <c r="S65" s="1093" t="s">
        <v>75</v>
      </c>
      <c r="T65" s="2379" t="s">
        <v>670</v>
      </c>
      <c r="U65" s="2379"/>
      <c r="V65" s="2379"/>
      <c r="W65" s="1603" t="str">
        <f>+ADDRESS(ROW(T5),COLUMN(T5),4)</f>
        <v>T5</v>
      </c>
    </row>
    <row r="66" spans="19:23">
      <c r="S66" s="2384" t="s">
        <v>72</v>
      </c>
      <c r="T66" s="2385" t="s">
        <v>669</v>
      </c>
      <c r="U66" s="2385"/>
      <c r="V66" s="2385"/>
      <c r="W66" s="2386" t="str">
        <f>ADDRESS(ROW(),COLUMN(T6),4)</f>
        <v>T66</v>
      </c>
    </row>
    <row r="67" spans="19:23">
      <c r="S67" s="2384"/>
      <c r="T67" s="2385"/>
      <c r="U67" s="2385"/>
      <c r="V67" s="2385"/>
      <c r="W67" s="2386"/>
    </row>
    <row r="68" spans="19:23" ht="18.75">
      <c r="S68" s="1936" t="s">
        <v>71</v>
      </c>
      <c r="T68" s="1092"/>
      <c r="U68" s="1092"/>
      <c r="V68" s="1092"/>
      <c r="W68" s="1095" t="str">
        <f>ADDRESS(ROW(),COLUMN(V7),4)</f>
        <v>V68</v>
      </c>
    </row>
    <row r="69" spans="19:23">
      <c r="S69" s="2387" t="s">
        <v>684</v>
      </c>
      <c r="T69" s="2385"/>
      <c r="U69" s="2385"/>
      <c r="V69" s="2385"/>
      <c r="W69" s="2388"/>
    </row>
    <row r="70" spans="19:23">
      <c r="S70" s="2387"/>
      <c r="T70" s="2385"/>
      <c r="U70" s="2385"/>
      <c r="V70" s="2385"/>
      <c r="W70" s="2388"/>
    </row>
    <row r="71" spans="19:23" ht="15.75">
      <c r="S71" s="1043"/>
      <c r="T71" s="1039"/>
      <c r="U71" s="1039"/>
      <c r="V71" s="1039"/>
      <c r="W71" s="1103" t="s">
        <v>1584</v>
      </c>
    </row>
    <row r="72" spans="19:23" ht="15.75">
      <c r="S72" s="2389" t="s">
        <v>62</v>
      </c>
      <c r="T72" s="2390"/>
      <c r="U72" s="2390"/>
      <c r="V72" s="2390"/>
      <c r="W72" s="2378" t="str">
        <f>LEFT(ADDRESS(1,COLUMN(V12),4),LEN(ADDRESS(1,COLUMN(),4))-1)</f>
        <v>V</v>
      </c>
    </row>
    <row r="73" spans="19:23" ht="15.75">
      <c r="S73" s="1937" t="s">
        <v>61</v>
      </c>
      <c r="T73" s="1038" t="s">
        <v>60</v>
      </c>
      <c r="U73" s="1056" t="s">
        <v>63</v>
      </c>
      <c r="V73" s="1938"/>
      <c r="W73" s="2378"/>
    </row>
    <row r="74" spans="19:23" ht="18.75">
      <c r="S74" s="1083" t="str">
        <f>LEFT(ADDRESS(1,COLUMN(S12),4),LEN(ADDRESS(1,COLUMN(),4))-1)</f>
        <v>S</v>
      </c>
      <c r="T74" s="1084" t="str">
        <f>LEFT(ADDRESS(1,COLUMN(T12),4),LEN(ADDRESS(1,COLUMN(),4))-1)</f>
        <v>T</v>
      </c>
      <c r="U74" s="1085" t="str">
        <f>LEFT(ADDRESS(1,COLUMN(U12),4),LEN(ADDRESS(1,COLUMN(),4))-1)</f>
        <v>U</v>
      </c>
      <c r="V74" s="1040"/>
      <c r="W74" s="1096"/>
    </row>
    <row r="75" spans="19:23" ht="18">
      <c r="S75" s="1044" t="s">
        <v>1562</v>
      </c>
      <c r="T75" s="1035"/>
      <c r="U75" s="1035"/>
      <c r="V75" s="1035"/>
      <c r="W75" s="1097" t="str">
        <f>ADDRESS(ROW(U13),COLUMN(U13),4)</f>
        <v>U13</v>
      </c>
    </row>
    <row r="76" spans="19:23" ht="18">
      <c r="S76" s="1045"/>
      <c r="T76" s="1041"/>
      <c r="U76" s="1041"/>
      <c r="V76" s="1041"/>
      <c r="W76" s="1098"/>
    </row>
    <row r="77" spans="19:23" ht="18.75">
      <c r="S77" s="1046" t="s">
        <v>1563</v>
      </c>
      <c r="T77" s="1047"/>
      <c r="U77" s="1047"/>
      <c r="V77" s="1047"/>
      <c r="W77" s="1099" t="str">
        <f>ADDRESS(ROW(S47),COLUMN(S47),4)</f>
        <v>S47</v>
      </c>
    </row>
    <row r="78" spans="19:23" ht="15.75">
      <c r="S78" s="1048" t="s">
        <v>2217</v>
      </c>
      <c r="T78" s="347"/>
      <c r="U78" s="347"/>
      <c r="V78" s="710"/>
      <c r="W78" s="1049"/>
    </row>
    <row r="79" spans="19:23" ht="15.75">
      <c r="S79" s="1048"/>
      <c r="T79" s="710"/>
      <c r="U79" s="710"/>
      <c r="V79" s="710"/>
      <c r="W79" s="1103" t="s">
        <v>1576</v>
      </c>
    </row>
    <row r="80" spans="19:23" ht="18.75">
      <c r="S80" s="1395" t="s">
        <v>1564</v>
      </c>
      <c r="T80" s="1349"/>
      <c r="U80" s="1349"/>
      <c r="V80" s="1349"/>
      <c r="W80" s="1396" t="str">
        <f>ADDRESS(ROW(AB11),COLUMN(AB11),4)</f>
        <v>AB11</v>
      </c>
    </row>
    <row r="81" spans="19:23" ht="18.75">
      <c r="S81" s="1066"/>
      <c r="T81" s="1067" t="s">
        <v>1583</v>
      </c>
      <c r="U81" s="710"/>
      <c r="V81" s="710"/>
      <c r="W81" s="1100"/>
    </row>
    <row r="82" spans="19:23" ht="18.75">
      <c r="S82" s="1050" t="s">
        <v>1565</v>
      </c>
      <c r="T82" s="1036"/>
      <c r="U82" s="1036"/>
      <c r="V82" s="1036"/>
      <c r="W82" s="1101" t="str">
        <f>ADDRESS(ROW(AB12),COLUMN(AB12),4)</f>
        <v>AB12</v>
      </c>
    </row>
    <row r="83" spans="19:23" ht="18.75">
      <c r="S83" s="1051"/>
      <c r="T83" s="1042"/>
      <c r="U83" s="1042"/>
      <c r="V83" s="1042"/>
      <c r="W83" s="1102"/>
    </row>
    <row r="84" spans="19:23" ht="18.75">
      <c r="S84" s="1959" t="s">
        <v>1727</v>
      </c>
      <c r="T84" s="1037"/>
      <c r="U84" s="1037"/>
      <c r="V84" s="1037"/>
      <c r="W84" s="1939" t="str">
        <f>ADDRESS(ROW(D8),COLUMN(D8),4)</f>
        <v>D8</v>
      </c>
    </row>
    <row r="85" spans="19:23" ht="18.75">
      <c r="S85" s="1053"/>
      <c r="T85" s="347"/>
      <c r="U85" s="347"/>
      <c r="V85" s="710"/>
      <c r="W85" s="1100"/>
    </row>
    <row r="86" spans="19:23" ht="18.75">
      <c r="S86" s="1054"/>
      <c r="T86" s="710"/>
      <c r="U86" s="710"/>
      <c r="V86" s="710"/>
      <c r="W86" s="1100"/>
    </row>
    <row r="87" spans="19:23">
      <c r="S87" s="2399" t="s">
        <v>1568</v>
      </c>
      <c r="T87" s="2400"/>
      <c r="U87" s="2400"/>
      <c r="V87" s="2400"/>
      <c r="W87" s="2401" t="str">
        <f>ADDRESS(ROW(D10),COLUMN(D10),4)</f>
        <v>D10</v>
      </c>
    </row>
    <row r="88" spans="19:23">
      <c r="S88" s="2399"/>
      <c r="T88" s="2400"/>
      <c r="U88" s="2400"/>
      <c r="V88" s="2400"/>
      <c r="W88" s="2401"/>
    </row>
    <row r="89" spans="19:23">
      <c r="S89" s="681"/>
      <c r="T89" s="1"/>
      <c r="U89" s="1"/>
      <c r="V89" s="1"/>
      <c r="W89" s="2"/>
    </row>
    <row r="90" spans="19:23" ht="15.75">
      <c r="S90" s="1397" t="s">
        <v>2218</v>
      </c>
      <c r="T90" s="1398"/>
      <c r="U90" s="1398"/>
      <c r="V90" s="1398"/>
      <c r="W90" s="2402" t="str">
        <f>ADDRESS(ROW(O11),COLUMN(O11),4)</f>
        <v>O11</v>
      </c>
    </row>
    <row r="91" spans="19:23" ht="15" customHeight="1">
      <c r="S91" s="2403" t="s">
        <v>2219</v>
      </c>
      <c r="T91" s="2404"/>
      <c r="U91" s="2404"/>
      <c r="V91" s="2404"/>
      <c r="W91" s="2402"/>
    </row>
    <row r="92" spans="19:23" ht="15" customHeight="1">
      <c r="S92" s="2405" t="s">
        <v>2220</v>
      </c>
      <c r="T92" s="2406"/>
      <c r="U92" s="2406"/>
      <c r="V92" s="2406"/>
      <c r="W92" s="2409" t="str">
        <f>ADDRESS(ROW(D8),COLUMN(D8),4)</f>
        <v>D8</v>
      </c>
    </row>
    <row r="93" spans="19:23" ht="15" customHeight="1">
      <c r="S93" s="2407"/>
      <c r="T93" s="2408"/>
      <c r="U93" s="2408"/>
      <c r="V93" s="2408"/>
      <c r="W93" s="2410"/>
    </row>
    <row r="94" spans="19:23">
      <c r="S94" s="2391" t="str">
        <f>ADDRESS(ROW(J8),COLUMN(J8),4)</f>
        <v>J8</v>
      </c>
      <c r="T94" s="2393" t="s">
        <v>1707</v>
      </c>
      <c r="U94" s="2393"/>
      <c r="V94" s="2395" t="s">
        <v>1708</v>
      </c>
      <c r="W94" s="2397">
        <f>P8</f>
        <v>5.5703703703703704</v>
      </c>
    </row>
    <row r="95" spans="19:23">
      <c r="S95" s="2392"/>
      <c r="T95" s="2394"/>
      <c r="U95" s="2394"/>
      <c r="V95" s="2396"/>
      <c r="W95" s="2398"/>
    </row>
    <row r="96" spans="19:23" ht="18.75">
      <c r="S96" s="1399" t="str">
        <f>ADDRESS(ROW(J10),COLUMN(J10),4)</f>
        <v>J10</v>
      </c>
      <c r="T96" s="1346" t="s">
        <v>2221</v>
      </c>
      <c r="U96" s="1347"/>
      <c r="V96" s="1420"/>
      <c r="W96" s="1960">
        <f t="shared" ref="W96:W97" si="14">P10</f>
        <v>6750</v>
      </c>
    </row>
    <row r="97" spans="19:23" ht="23.25">
      <c r="S97" s="1940" t="str">
        <f>ADDRESS(ROW(J11),COLUMN(J11),4)</f>
        <v>J11</v>
      </c>
      <c r="T97" s="1080" t="s">
        <v>1591</v>
      </c>
      <c r="U97" s="1081"/>
      <c r="V97" s="1424" t="s">
        <v>1723</v>
      </c>
      <c r="W97" s="1961">
        <f t="shared" si="14"/>
        <v>179.52127659574467</v>
      </c>
    </row>
    <row r="98" spans="19:23" ht="18.75">
      <c r="S98" s="1137"/>
      <c r="T98" s="1133"/>
      <c r="U98" s="1134"/>
      <c r="V98" s="1135"/>
      <c r="W98" s="1136"/>
    </row>
    <row r="99" spans="19:23">
      <c r="S99" s="2372" t="s">
        <v>754</v>
      </c>
      <c r="T99" s="2373"/>
      <c r="U99" s="2373"/>
      <c r="V99" s="2373"/>
      <c r="W99" s="2374"/>
    </row>
    <row r="100" spans="19:23">
      <c r="S100" s="2372"/>
      <c r="T100" s="2373"/>
      <c r="U100" s="2373"/>
      <c r="V100" s="2373"/>
      <c r="W100" s="2374"/>
    </row>
    <row r="101" spans="19:23" ht="18.75">
      <c r="S101" s="2375" t="s">
        <v>756</v>
      </c>
      <c r="T101" s="2376"/>
      <c r="U101" s="2376"/>
      <c r="V101" s="2376"/>
      <c r="W101" s="2377"/>
    </row>
    <row r="102" spans="19:23" ht="19.5" thickBot="1">
      <c r="S102" s="1123"/>
      <c r="T102" s="2365" t="s">
        <v>757</v>
      </c>
      <c r="U102" s="2365"/>
      <c r="V102" s="1124" t="str">
        <f>LEFT(ADDRESS(1,COLUMN(AW5),4),LEN(ADDRESS(1,COLUMN(AW5),4))-1)</f>
        <v>AW</v>
      </c>
      <c r="W102" s="1125"/>
    </row>
    <row r="103" spans="19:23">
      <c r="S103" s="2366" t="s">
        <v>151</v>
      </c>
      <c r="T103" s="2367"/>
      <c r="U103" s="2367"/>
      <c r="V103" s="2367"/>
      <c r="W103" s="2368"/>
    </row>
    <row r="104" spans="19:23">
      <c r="S104" s="2369"/>
      <c r="T104" s="2370"/>
      <c r="U104" s="2370"/>
      <c r="V104" s="2370"/>
      <c r="W104" s="2371"/>
    </row>
    <row r="105" spans="19:23">
      <c r="S105" s="2369"/>
      <c r="T105" s="2370"/>
      <c r="U105" s="2370"/>
      <c r="V105" s="2370"/>
      <c r="W105" s="2371"/>
    </row>
    <row r="106" spans="19:23" ht="16.5" thickBot="1">
      <c r="S106" s="1138"/>
      <c r="T106" s="1139"/>
      <c r="U106" s="1139"/>
      <c r="V106" s="1139"/>
      <c r="W106" s="1140"/>
    </row>
  </sheetData>
  <mergeCells count="69">
    <mergeCell ref="B2:Q2"/>
    <mergeCell ref="B4:Q4"/>
    <mergeCell ref="S4:W4"/>
    <mergeCell ref="E11:E12"/>
    <mergeCell ref="X11:Z11"/>
    <mergeCell ref="X4:AE4"/>
    <mergeCell ref="B5:G5"/>
    <mergeCell ref="J5:O5"/>
    <mergeCell ref="T5:V5"/>
    <mergeCell ref="D8:D9"/>
    <mergeCell ref="J8:J9"/>
    <mergeCell ref="AG5:AU5"/>
    <mergeCell ref="A6:A48"/>
    <mergeCell ref="I6:I48"/>
    <mergeCell ref="Q6:Q47"/>
    <mergeCell ref="T6:W6"/>
    <mergeCell ref="X6:AE7"/>
    <mergeCell ref="AG6:AU7"/>
    <mergeCell ref="O7:P7"/>
    <mergeCell ref="V7:W7"/>
    <mergeCell ref="B8:C8"/>
    <mergeCell ref="AG9:AI10"/>
    <mergeCell ref="AJ9:AM10"/>
    <mergeCell ref="AN9:AQ10"/>
    <mergeCell ref="AR9:AU10"/>
    <mergeCell ref="T50:W51"/>
    <mergeCell ref="Y50:AD50"/>
    <mergeCell ref="Y51:Z51"/>
    <mergeCell ref="AC51:AD51"/>
    <mergeCell ref="K8:L9"/>
    <mergeCell ref="O8:O9"/>
    <mergeCell ref="P8:P9"/>
    <mergeCell ref="X8:Z10"/>
    <mergeCell ref="AA8:AA11"/>
    <mergeCell ref="AB8:AE10"/>
    <mergeCell ref="S47:S48"/>
    <mergeCell ref="T65:V65"/>
    <mergeCell ref="S52:W53"/>
    <mergeCell ref="Y52:Y56"/>
    <mergeCell ref="Z52:Z56"/>
    <mergeCell ref="S54:W55"/>
    <mergeCell ref="S56:W56"/>
    <mergeCell ref="S58:V58"/>
    <mergeCell ref="Y58:AD58"/>
    <mergeCell ref="Y59:Z59"/>
    <mergeCell ref="AC59:AD59"/>
    <mergeCell ref="S60:V62"/>
    <mergeCell ref="Y60:Y64"/>
    <mergeCell ref="Z60:Z64"/>
    <mergeCell ref="S66:S67"/>
    <mergeCell ref="T66:V67"/>
    <mergeCell ref="W66:W67"/>
    <mergeCell ref="S69:W70"/>
    <mergeCell ref="S72:V72"/>
    <mergeCell ref="W72:W73"/>
    <mergeCell ref="S87:V88"/>
    <mergeCell ref="W87:W88"/>
    <mergeCell ref="W90:W91"/>
    <mergeCell ref="S91:V91"/>
    <mergeCell ref="S92:V93"/>
    <mergeCell ref="W92:W93"/>
    <mergeCell ref="T102:U102"/>
    <mergeCell ref="S103:W105"/>
    <mergeCell ref="S94:S95"/>
    <mergeCell ref="T94:U95"/>
    <mergeCell ref="V94:V95"/>
    <mergeCell ref="W94:W95"/>
    <mergeCell ref="S99:W100"/>
    <mergeCell ref="S101:W101"/>
  </mergeCells>
  <hyperlinks>
    <hyperlink ref="L46" r:id="rId1"/>
  </hyperlinks>
  <printOptions horizontalCentered="1"/>
  <pageMargins left="0.23622047244094491" right="0.23622047244094491" top="0.35433070866141736" bottom="0.35433070866141736" header="0.19685039370078741" footer="0.19685039370078741"/>
  <pageSetup paperSize="9" scale="52"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J901"/>
  <sheetViews>
    <sheetView topLeftCell="A52" zoomScaleNormal="100" workbookViewId="0">
      <selection activeCell="G98" sqref="G98"/>
    </sheetView>
  </sheetViews>
  <sheetFormatPr baseColWidth="10" defaultRowHeight="15"/>
  <cols>
    <col min="1" max="1" width="3.7109375" customWidth="1"/>
    <col min="2" max="14" width="15.7109375" customWidth="1"/>
    <col min="16" max="16" width="16.5703125" customWidth="1"/>
  </cols>
  <sheetData>
    <row r="1" spans="1:17" ht="15.75" thickBot="1">
      <c r="A1" s="56">
        <f t="shared" ref="A1:Q1" ca="1" si="0">CELL("largeur",A1)</f>
        <v>3</v>
      </c>
      <c r="B1" s="56">
        <f t="shared" ca="1" si="0"/>
        <v>15</v>
      </c>
      <c r="C1" s="56">
        <f t="shared" ca="1" si="0"/>
        <v>15</v>
      </c>
      <c r="D1" s="56">
        <f t="shared" ca="1" si="0"/>
        <v>15</v>
      </c>
      <c r="E1" s="56">
        <f t="shared" ca="1" si="0"/>
        <v>15</v>
      </c>
      <c r="F1" s="56">
        <f t="shared" ca="1" si="0"/>
        <v>15</v>
      </c>
      <c r="G1" s="56">
        <f t="shared" ca="1" si="0"/>
        <v>15</v>
      </c>
      <c r="H1" s="56">
        <f t="shared" ca="1" si="0"/>
        <v>15</v>
      </c>
      <c r="I1" s="56">
        <f t="shared" ca="1" si="0"/>
        <v>15</v>
      </c>
      <c r="J1" s="56">
        <f t="shared" ca="1" si="0"/>
        <v>15</v>
      </c>
      <c r="K1" s="56">
        <f t="shared" ca="1" si="0"/>
        <v>15</v>
      </c>
      <c r="L1" s="56">
        <f t="shared" ca="1" si="0"/>
        <v>15</v>
      </c>
      <c r="M1" s="56">
        <f t="shared" ca="1" si="0"/>
        <v>15</v>
      </c>
      <c r="N1" s="56">
        <f t="shared" ca="1" si="0"/>
        <v>15</v>
      </c>
      <c r="O1" s="56">
        <f t="shared" ca="1" si="0"/>
        <v>11</v>
      </c>
      <c r="P1" s="56">
        <f t="shared" ca="1" si="0"/>
        <v>16</v>
      </c>
      <c r="Q1" s="56">
        <f t="shared" ca="1" si="0"/>
        <v>11</v>
      </c>
    </row>
    <row r="2" spans="1:17" ht="26.25">
      <c r="A2" s="57"/>
      <c r="B2" s="3330" t="s">
        <v>85</v>
      </c>
      <c r="C2" s="3331"/>
      <c r="D2" s="3331"/>
      <c r="E2" s="3331"/>
      <c r="F2" s="3331"/>
      <c r="G2" s="3331"/>
      <c r="H2" s="3331"/>
      <c r="I2" s="3331"/>
      <c r="J2" s="3331"/>
      <c r="K2" s="3331"/>
      <c r="L2" s="3331"/>
      <c r="M2" s="3331"/>
      <c r="N2" s="3331"/>
      <c r="O2" s="3331"/>
      <c r="P2" s="3331"/>
      <c r="Q2" s="3332"/>
    </row>
    <row r="3" spans="1:17" ht="20.100000000000001" customHeight="1">
      <c r="A3" s="57"/>
      <c r="B3" s="3333" t="s">
        <v>86</v>
      </c>
      <c r="C3" s="3334"/>
      <c r="D3" s="3334"/>
      <c r="E3" s="3334"/>
      <c r="F3" s="3334"/>
      <c r="G3" s="3334"/>
      <c r="H3" s="3334"/>
      <c r="I3" s="3334"/>
      <c r="J3" s="3334"/>
      <c r="K3" s="3334"/>
      <c r="L3" s="3334"/>
      <c r="M3" s="3334"/>
      <c r="N3" s="3334"/>
      <c r="O3" s="3334"/>
      <c r="P3" s="3334"/>
      <c r="Q3" s="3335"/>
    </row>
    <row r="4" spans="1:17" ht="20.100000000000001" customHeight="1">
      <c r="A4" s="57"/>
      <c r="B4" s="3333" t="s">
        <v>87</v>
      </c>
      <c r="C4" s="3334"/>
      <c r="D4" s="3334"/>
      <c r="E4" s="3334"/>
      <c r="F4" s="3334"/>
      <c r="G4" s="3334"/>
      <c r="H4" s="3334"/>
      <c r="I4" s="3334"/>
      <c r="J4" s="3334"/>
      <c r="K4" s="3334"/>
      <c r="L4" s="3334"/>
      <c r="M4" s="3334"/>
      <c r="N4" s="3334"/>
      <c r="O4" s="3334"/>
      <c r="P4" s="3334"/>
      <c r="Q4" s="3335"/>
    </row>
    <row r="5" spans="1:17" ht="20.100000000000001" customHeight="1">
      <c r="A5" s="57"/>
      <c r="B5" s="3333" t="s">
        <v>88</v>
      </c>
      <c r="C5" s="3334"/>
      <c r="D5" s="3334"/>
      <c r="E5" s="3334"/>
      <c r="F5" s="3334"/>
      <c r="G5" s="3334"/>
      <c r="H5" s="3334"/>
      <c r="I5" s="3334"/>
      <c r="J5" s="3334"/>
      <c r="K5" s="3334"/>
      <c r="L5" s="3334"/>
      <c r="M5" s="3334"/>
      <c r="N5" s="3334"/>
      <c r="O5" s="3334"/>
      <c r="P5" s="3334"/>
      <c r="Q5" s="3335"/>
    </row>
    <row r="6" spans="1:17" ht="27" thickBot="1">
      <c r="A6" s="57"/>
      <c r="B6" s="1617" t="s">
        <v>1778</v>
      </c>
      <c r="C6" s="3336" t="s">
        <v>89</v>
      </c>
      <c r="D6" s="3336"/>
      <c r="E6" s="3336"/>
      <c r="F6" s="3336"/>
      <c r="G6" s="3336"/>
      <c r="H6" s="3336"/>
      <c r="I6" s="3336"/>
      <c r="J6" s="3336"/>
      <c r="K6" s="3336"/>
      <c r="L6" s="3336"/>
      <c r="M6" s="3336"/>
      <c r="N6" s="3336"/>
      <c r="O6" s="3336"/>
      <c r="P6" s="3336"/>
      <c r="Q6" s="3337"/>
    </row>
    <row r="7" spans="1:17" ht="15.75">
      <c r="A7" s="58"/>
      <c r="B7" s="57"/>
      <c r="C7" s="59"/>
      <c r="D7" s="57"/>
      <c r="E7" s="57"/>
      <c r="F7" s="57"/>
      <c r="G7" s="57"/>
      <c r="H7" s="57"/>
      <c r="I7" s="57"/>
      <c r="J7" s="57"/>
      <c r="K7" s="57"/>
      <c r="L7" s="57"/>
      <c r="M7" s="58"/>
      <c r="N7" s="58"/>
      <c r="O7" s="58"/>
      <c r="P7" s="58"/>
      <c r="Q7" s="58"/>
    </row>
    <row r="8" spans="1:17" ht="15.75" customHeight="1">
      <c r="A8" s="58"/>
      <c r="B8" s="3338" t="s">
        <v>1779</v>
      </c>
      <c r="C8" s="3338"/>
      <c r="D8" s="3338"/>
      <c r="E8" s="3338"/>
      <c r="F8" s="3338"/>
      <c r="G8" s="3338"/>
      <c r="H8" s="3338"/>
      <c r="I8" s="3338"/>
      <c r="J8" s="3338"/>
      <c r="K8" s="3338"/>
      <c r="L8" s="3338"/>
      <c r="M8" s="3338"/>
      <c r="N8" s="3338"/>
      <c r="O8" s="3338"/>
      <c r="P8" s="3338"/>
      <c r="Q8" s="3338"/>
    </row>
    <row r="9" spans="1:17" ht="15.75" customHeight="1">
      <c r="A9" s="58"/>
      <c r="B9" s="3338"/>
      <c r="C9" s="3338"/>
      <c r="D9" s="3338"/>
      <c r="E9" s="3338"/>
      <c r="F9" s="3338"/>
      <c r="G9" s="3338"/>
      <c r="H9" s="3338"/>
      <c r="I9" s="3338"/>
      <c r="J9" s="3338"/>
      <c r="K9" s="3338"/>
      <c r="L9" s="3338"/>
      <c r="M9" s="3338"/>
      <c r="N9" s="3338"/>
      <c r="O9" s="3338"/>
      <c r="P9" s="3338"/>
      <c r="Q9" s="3338"/>
    </row>
    <row r="10" spans="1:17" ht="30.75" customHeight="1">
      <c r="A10" s="58"/>
      <c r="B10" s="3338"/>
      <c r="C10" s="3338"/>
      <c r="D10" s="3338"/>
      <c r="E10" s="3338"/>
      <c r="F10" s="3338"/>
      <c r="G10" s="3338"/>
      <c r="H10" s="3338"/>
      <c r="I10" s="3338"/>
      <c r="J10" s="3338"/>
      <c r="K10" s="3338"/>
      <c r="L10" s="3338"/>
      <c r="M10" s="3338"/>
      <c r="N10" s="3338"/>
      <c r="O10" s="3338"/>
      <c r="P10" s="3338"/>
      <c r="Q10" s="3338"/>
    </row>
    <row r="11" spans="1:17" ht="15.75" thickBot="1">
      <c r="A11" s="58"/>
      <c r="B11" s="57"/>
      <c r="C11" s="60"/>
      <c r="D11" s="57"/>
      <c r="E11" s="57"/>
      <c r="F11" s="57"/>
      <c r="G11" s="57"/>
      <c r="H11" s="57"/>
      <c r="I11" s="57"/>
      <c r="J11" s="57"/>
      <c r="K11" s="57"/>
      <c r="L11" s="57"/>
      <c r="M11" s="58"/>
      <c r="N11" s="58"/>
      <c r="O11" s="58"/>
      <c r="P11" s="58"/>
      <c r="Q11" s="58"/>
    </row>
    <row r="12" spans="1:17" ht="31.5" customHeight="1" thickBot="1">
      <c r="A12" s="58"/>
      <c r="B12" s="3299" t="s">
        <v>1780</v>
      </c>
      <c r="C12" s="3300"/>
      <c r="D12" s="3300"/>
      <c r="E12" s="3300"/>
      <c r="F12" s="3300"/>
      <c r="G12" s="3300"/>
      <c r="H12" s="3300"/>
      <c r="I12" s="3300"/>
      <c r="J12" s="3300"/>
      <c r="K12" s="3300"/>
      <c r="L12" s="3300"/>
      <c r="M12" s="3300"/>
      <c r="N12" s="3300"/>
      <c r="O12" s="3300"/>
      <c r="P12" s="3300"/>
      <c r="Q12" s="3301"/>
    </row>
    <row r="13" spans="1:17">
      <c r="A13" s="58"/>
      <c r="B13" s="61"/>
      <c r="C13" s="57"/>
      <c r="D13" s="57"/>
      <c r="E13" s="57"/>
      <c r="F13" s="57"/>
      <c r="G13" s="57"/>
      <c r="H13" s="57"/>
      <c r="I13" s="57"/>
      <c r="J13" s="57"/>
      <c r="K13" s="57"/>
      <c r="L13" s="57"/>
      <c r="M13" s="58"/>
      <c r="N13" s="58"/>
      <c r="O13" s="58"/>
      <c r="P13" s="58"/>
      <c r="Q13" s="58"/>
    </row>
    <row r="14" spans="1:17">
      <c r="A14" s="58"/>
      <c r="B14" s="61"/>
      <c r="C14" s="62" t="s">
        <v>90</v>
      </c>
      <c r="D14" s="57"/>
      <c r="E14" s="57"/>
      <c r="F14" s="57"/>
      <c r="G14" s="57"/>
      <c r="H14" s="57"/>
      <c r="I14" s="57"/>
      <c r="J14" s="57"/>
      <c r="K14" s="57"/>
      <c r="L14" s="57"/>
      <c r="M14" s="58"/>
      <c r="N14" s="58"/>
      <c r="O14" s="58"/>
      <c r="P14" s="58"/>
      <c r="Q14" s="58"/>
    </row>
    <row r="15" spans="1:17">
      <c r="A15" s="58"/>
      <c r="B15" s="61"/>
      <c r="C15" s="57"/>
      <c r="D15" s="57"/>
      <c r="E15" s="57"/>
      <c r="F15" s="57"/>
      <c r="G15" s="57"/>
      <c r="H15" s="57"/>
      <c r="I15" s="57"/>
      <c r="J15" s="57"/>
      <c r="K15" s="57"/>
      <c r="L15" s="57"/>
      <c r="M15" s="58"/>
      <c r="N15" s="58"/>
      <c r="O15" s="58"/>
      <c r="P15" s="58"/>
      <c r="Q15" s="58"/>
    </row>
    <row r="16" spans="1:17">
      <c r="A16" s="58"/>
      <c r="B16" s="61"/>
      <c r="C16" s="1618" t="s">
        <v>61</v>
      </c>
      <c r="D16" s="1619" t="s">
        <v>60</v>
      </c>
      <c r="E16" s="1620" t="s">
        <v>63</v>
      </c>
      <c r="F16" s="1620" t="s">
        <v>91</v>
      </c>
      <c r="G16" s="57"/>
      <c r="H16" s="57"/>
      <c r="I16" s="57"/>
      <c r="J16" s="57"/>
      <c r="K16" s="57"/>
      <c r="L16" s="57"/>
      <c r="M16" s="58"/>
      <c r="N16" s="63" t="s">
        <v>92</v>
      </c>
      <c r="O16" s="58"/>
      <c r="P16" s="58"/>
      <c r="Q16" s="58"/>
    </row>
    <row r="17" spans="1:17">
      <c r="A17" s="58"/>
      <c r="B17" s="61"/>
      <c r="C17" s="57"/>
      <c r="D17" s="57"/>
      <c r="E17" s="57"/>
      <c r="F17" s="57"/>
      <c r="G17" s="57"/>
      <c r="H17" s="57"/>
      <c r="I17" s="57"/>
      <c r="J17" s="57"/>
      <c r="K17" s="57"/>
      <c r="L17" s="57"/>
      <c r="M17" s="58"/>
      <c r="N17" s="58"/>
      <c r="O17" s="58"/>
      <c r="P17" s="58"/>
      <c r="Q17" s="58"/>
    </row>
    <row r="18" spans="1:17" ht="15.75">
      <c r="A18" s="58"/>
      <c r="B18" s="57"/>
      <c r="C18" s="64" t="s">
        <v>93</v>
      </c>
      <c r="D18" s="65"/>
      <c r="E18" s="65"/>
      <c r="F18" s="57"/>
      <c r="G18" s="57"/>
      <c r="H18" s="57"/>
      <c r="I18" s="57"/>
      <c r="J18" s="57"/>
      <c r="K18" s="57"/>
      <c r="L18" s="57"/>
      <c r="M18" s="58"/>
      <c r="N18" s="1621" t="s">
        <v>75</v>
      </c>
      <c r="O18" s="58"/>
      <c r="P18" s="58"/>
      <c r="Q18" s="58"/>
    </row>
    <row r="19" spans="1:17" ht="15.75">
      <c r="A19" s="58"/>
      <c r="B19" s="57"/>
      <c r="C19" s="1283"/>
      <c r="D19" s="2222"/>
      <c r="E19" s="2223">
        <v>1050</v>
      </c>
      <c r="F19" s="66" t="s">
        <v>94</v>
      </c>
      <c r="G19" s="54"/>
      <c r="H19" s="57"/>
      <c r="I19" s="57"/>
      <c r="J19" s="57"/>
      <c r="K19" s="57"/>
      <c r="L19" s="57"/>
      <c r="M19" s="58"/>
      <c r="N19" s="1621" t="s">
        <v>95</v>
      </c>
      <c r="O19" s="67" t="s">
        <v>96</v>
      </c>
      <c r="P19" s="58"/>
      <c r="Q19" s="58"/>
    </row>
    <row r="20" spans="1:17" ht="15.75">
      <c r="A20" s="58"/>
      <c r="B20" s="57"/>
      <c r="C20" s="1283"/>
      <c r="D20" s="2222"/>
      <c r="E20" s="2223">
        <v>400</v>
      </c>
      <c r="F20" s="66" t="s">
        <v>97</v>
      </c>
      <c r="G20" s="54"/>
      <c r="H20" s="57"/>
      <c r="I20" s="57"/>
      <c r="J20" s="57"/>
      <c r="K20" s="57"/>
      <c r="L20" s="57"/>
      <c r="M20" s="58"/>
      <c r="N20" s="1621" t="s">
        <v>98</v>
      </c>
      <c r="O20" s="58"/>
      <c r="P20" s="58"/>
      <c r="Q20" s="58"/>
    </row>
    <row r="21" spans="1:17" ht="15.75">
      <c r="A21" s="58"/>
      <c r="B21" s="57"/>
      <c r="C21" s="68"/>
      <c r="D21" s="68"/>
      <c r="E21" s="68"/>
      <c r="F21" s="57"/>
      <c r="G21" s="57"/>
      <c r="H21" s="57"/>
      <c r="I21" s="57"/>
      <c r="J21" s="57"/>
      <c r="K21" s="57"/>
      <c r="L21" s="57"/>
      <c r="M21" s="58"/>
      <c r="N21" s="1621" t="s">
        <v>99</v>
      </c>
      <c r="O21" s="58"/>
      <c r="P21" s="58"/>
      <c r="Q21" s="58"/>
    </row>
    <row r="22" spans="1:17" ht="20.25">
      <c r="A22" s="58"/>
      <c r="B22" s="57"/>
      <c r="C22" s="69" t="s">
        <v>100</v>
      </c>
      <c r="D22" s="70"/>
      <c r="E22" s="70"/>
      <c r="F22" s="71"/>
      <c r="G22" s="71"/>
      <c r="H22" s="71"/>
      <c r="I22" s="71"/>
      <c r="J22" s="57"/>
      <c r="K22" s="57"/>
      <c r="L22" s="57"/>
      <c r="M22" s="58"/>
      <c r="N22" s="1621" t="s">
        <v>101</v>
      </c>
      <c r="O22" s="58"/>
      <c r="P22" s="58"/>
      <c r="Q22" s="58"/>
    </row>
    <row r="23" spans="1:17" ht="15.75">
      <c r="A23" s="58"/>
      <c r="B23" s="57"/>
      <c r="C23" s="70" t="s">
        <v>102</v>
      </c>
      <c r="D23" s="65"/>
      <c r="E23" s="65"/>
      <c r="F23" s="57"/>
      <c r="G23" s="57"/>
      <c r="H23" s="57"/>
      <c r="I23" s="57"/>
      <c r="J23" s="57"/>
      <c r="K23" s="57"/>
      <c r="L23" s="57"/>
      <c r="M23" s="58"/>
      <c r="N23" s="1621" t="s">
        <v>6</v>
      </c>
      <c r="O23" s="58"/>
      <c r="P23" s="58"/>
      <c r="Q23" s="58"/>
    </row>
    <row r="24" spans="1:17" ht="15.75">
      <c r="A24" s="58"/>
      <c r="B24" s="57"/>
      <c r="C24" s="70"/>
      <c r="D24" s="65"/>
      <c r="E24" s="65"/>
      <c r="F24" s="57"/>
      <c r="G24" s="57"/>
      <c r="H24" s="70"/>
      <c r="I24" s="57"/>
      <c r="J24" s="57"/>
      <c r="K24" s="57"/>
      <c r="L24" s="57"/>
      <c r="M24" s="58"/>
      <c r="N24" s="1621" t="s">
        <v>103</v>
      </c>
      <c r="O24" s="58"/>
      <c r="P24" s="58"/>
      <c r="Q24" s="58"/>
    </row>
    <row r="25" spans="1:17" ht="15.75">
      <c r="A25" s="58"/>
      <c r="B25" s="57"/>
      <c r="C25" s="1618" t="s">
        <v>61</v>
      </c>
      <c r="D25" s="1619" t="s">
        <v>60</v>
      </c>
      <c r="E25" s="1620" t="s">
        <v>63</v>
      </c>
      <c r="F25" s="1620" t="s">
        <v>91</v>
      </c>
      <c r="G25" s="57"/>
      <c r="H25" s="57"/>
      <c r="I25" s="57"/>
      <c r="J25" s="57"/>
      <c r="K25" s="57"/>
      <c r="L25" s="57"/>
      <c r="M25" s="58"/>
      <c r="N25" s="1621" t="s">
        <v>104</v>
      </c>
      <c r="O25" s="58"/>
      <c r="P25" s="58"/>
      <c r="Q25" s="58"/>
    </row>
    <row r="26" spans="1:17" ht="15.75">
      <c r="A26" s="58"/>
      <c r="B26" s="57"/>
      <c r="C26" s="1283">
        <v>2</v>
      </c>
      <c r="D26" s="2224" t="s">
        <v>80</v>
      </c>
      <c r="E26" s="2223">
        <v>50</v>
      </c>
      <c r="F26" s="72" t="s">
        <v>105</v>
      </c>
      <c r="G26" s="57"/>
      <c r="H26" s="57"/>
      <c r="I26" s="57"/>
      <c r="J26" s="57"/>
      <c r="K26" s="57"/>
      <c r="L26" s="57"/>
      <c r="M26" s="58"/>
      <c r="N26" s="1621" t="s">
        <v>106</v>
      </c>
      <c r="O26" s="58"/>
      <c r="P26" s="58"/>
      <c r="Q26" s="58"/>
    </row>
    <row r="27" spans="1:17" ht="15.75">
      <c r="A27" s="58"/>
      <c r="B27" s="57"/>
      <c r="C27" s="73" t="s">
        <v>107</v>
      </c>
      <c r="D27" s="70"/>
      <c r="E27" s="72"/>
      <c r="F27" s="72"/>
      <c r="G27" s="57"/>
      <c r="H27" s="57"/>
      <c r="I27" s="57"/>
      <c r="J27" s="57"/>
      <c r="K27" s="57"/>
      <c r="L27" s="57"/>
      <c r="M27" s="58"/>
      <c r="N27" s="1621" t="s">
        <v>108</v>
      </c>
      <c r="O27" s="58"/>
      <c r="P27" s="58"/>
      <c r="Q27" s="58"/>
    </row>
    <row r="28" spans="1:17" ht="15.75">
      <c r="A28" s="58"/>
      <c r="B28" s="57"/>
      <c r="C28" s="70" t="s">
        <v>109</v>
      </c>
      <c r="D28" s="54"/>
      <c r="E28" s="66"/>
      <c r="F28" s="72"/>
      <c r="G28" s="57"/>
      <c r="H28" s="57"/>
      <c r="I28" s="57"/>
      <c r="J28" s="57"/>
      <c r="K28" s="57"/>
      <c r="L28" s="57"/>
      <c r="M28" s="58"/>
      <c r="N28" s="1621" t="s">
        <v>110</v>
      </c>
      <c r="O28" s="58"/>
      <c r="P28" s="58"/>
      <c r="Q28" s="58"/>
    </row>
    <row r="29" spans="1:17" ht="15.75">
      <c r="A29" s="58"/>
      <c r="B29" s="57"/>
      <c r="C29" s="70"/>
      <c r="D29" s="72"/>
      <c r="E29" s="72"/>
      <c r="F29" s="72"/>
      <c r="G29" s="57"/>
      <c r="H29" s="57"/>
      <c r="I29" s="57"/>
      <c r="J29" s="57"/>
      <c r="K29" s="57"/>
      <c r="L29" s="57"/>
      <c r="M29" s="58"/>
      <c r="N29" s="1621" t="s">
        <v>111</v>
      </c>
      <c r="O29" s="58"/>
      <c r="P29" s="58"/>
      <c r="Q29" s="58"/>
    </row>
    <row r="30" spans="1:17" ht="20.25">
      <c r="A30" s="58"/>
      <c r="B30" s="57"/>
      <c r="C30" s="69" t="s">
        <v>112</v>
      </c>
      <c r="E30" s="72"/>
      <c r="F30" s="72"/>
      <c r="G30" s="57"/>
      <c r="H30" s="57"/>
      <c r="I30" s="57"/>
      <c r="J30" s="57"/>
      <c r="K30" s="57"/>
      <c r="L30" s="57"/>
      <c r="M30" s="58"/>
      <c r="N30" s="1621" t="s">
        <v>113</v>
      </c>
      <c r="O30" s="58"/>
      <c r="P30" s="58"/>
      <c r="Q30" s="58"/>
    </row>
    <row r="31" spans="1:17" ht="15.75">
      <c r="A31" s="58"/>
      <c r="B31" s="57"/>
      <c r="C31" s="70" t="s">
        <v>114</v>
      </c>
      <c r="D31" s="54"/>
      <c r="E31" s="66"/>
      <c r="F31" s="72"/>
      <c r="G31" s="57"/>
      <c r="H31" s="57"/>
      <c r="I31" s="57"/>
      <c r="J31" s="57"/>
      <c r="K31" s="57"/>
      <c r="L31" s="57"/>
      <c r="M31" s="58"/>
      <c r="N31" s="1621" t="s">
        <v>115</v>
      </c>
      <c r="O31" s="58"/>
      <c r="P31" s="58"/>
      <c r="Q31" s="58"/>
    </row>
    <row r="32" spans="1:17" ht="15.75">
      <c r="A32" s="58"/>
      <c r="B32" s="57"/>
      <c r="C32" s="70" t="s">
        <v>116</v>
      </c>
      <c r="D32" s="54"/>
      <c r="E32" s="66"/>
      <c r="F32" s="72"/>
      <c r="G32" s="57"/>
      <c r="H32" s="57"/>
      <c r="I32" s="57"/>
      <c r="J32" s="57"/>
      <c r="K32" s="57"/>
      <c r="L32" s="57"/>
      <c r="M32" s="58"/>
      <c r="N32" s="1621" t="s">
        <v>117</v>
      </c>
      <c r="O32" s="58"/>
      <c r="P32" s="58"/>
      <c r="Q32" s="58"/>
    </row>
    <row r="33" spans="1:17" ht="15.75">
      <c r="A33" s="58"/>
      <c r="B33" s="57"/>
      <c r="C33" s="65" t="s">
        <v>118</v>
      </c>
      <c r="D33" s="54"/>
      <c r="E33" s="66"/>
      <c r="F33" s="72"/>
      <c r="G33" s="57"/>
      <c r="H33" s="57"/>
      <c r="I33" s="57"/>
      <c r="J33" s="57"/>
      <c r="K33" s="57"/>
      <c r="L33" s="57"/>
      <c r="M33" s="58"/>
      <c r="N33" s="1621" t="s">
        <v>119</v>
      </c>
      <c r="O33" s="58"/>
      <c r="P33" s="58"/>
      <c r="Q33" s="58"/>
    </row>
    <row r="34" spans="1:17" ht="15.75">
      <c r="A34" s="58"/>
      <c r="B34" s="57"/>
      <c r="C34" s="65" t="s">
        <v>120</v>
      </c>
      <c r="D34" s="54"/>
      <c r="E34" s="66"/>
      <c r="F34" s="72"/>
      <c r="G34" s="57"/>
      <c r="H34" s="54"/>
      <c r="I34" s="54"/>
      <c r="J34" s="54"/>
      <c r="K34" s="57"/>
      <c r="L34" s="57"/>
      <c r="M34" s="58"/>
      <c r="N34" s="1621" t="s">
        <v>121</v>
      </c>
      <c r="O34" s="58"/>
      <c r="P34" s="58"/>
      <c r="Q34" s="58"/>
    </row>
    <row r="35" spans="1:17" ht="15.75">
      <c r="A35" s="58"/>
      <c r="B35" s="57"/>
      <c r="C35" s="70"/>
      <c r="E35" s="72"/>
      <c r="F35" s="72"/>
      <c r="G35" s="57"/>
      <c r="H35" s="57"/>
      <c r="I35" s="57"/>
      <c r="J35" s="57"/>
      <c r="K35" s="57"/>
      <c r="L35" s="57"/>
      <c r="M35" s="58"/>
      <c r="N35" s="1621" t="s">
        <v>122</v>
      </c>
      <c r="O35" s="58"/>
      <c r="P35" s="58"/>
      <c r="Q35" s="58"/>
    </row>
    <row r="36" spans="1:17" ht="18.75">
      <c r="A36" s="58"/>
      <c r="B36" s="57"/>
      <c r="C36" s="1618" t="s">
        <v>61</v>
      </c>
      <c r="D36" s="1619" t="s">
        <v>60</v>
      </c>
      <c r="E36" s="1620" t="s">
        <v>63</v>
      </c>
      <c r="F36" s="1620" t="s">
        <v>91</v>
      </c>
      <c r="G36" s="57"/>
      <c r="H36" s="904" t="s">
        <v>1442</v>
      </c>
      <c r="I36" s="57"/>
      <c r="J36" s="57"/>
      <c r="K36" s="62" t="s">
        <v>1441</v>
      </c>
      <c r="L36" s="57"/>
      <c r="M36" s="58"/>
      <c r="N36" s="1621" t="s">
        <v>123</v>
      </c>
      <c r="O36" s="58"/>
      <c r="P36" s="58"/>
      <c r="Q36" s="58"/>
    </row>
    <row r="37" spans="1:17" ht="15.75">
      <c r="A37" s="58"/>
      <c r="B37" s="57"/>
      <c r="C37" s="1283">
        <v>2</v>
      </c>
      <c r="D37" s="2224" t="s">
        <v>80</v>
      </c>
      <c r="E37" s="2223"/>
      <c r="F37" s="72" t="s">
        <v>105</v>
      </c>
      <c r="G37" s="1362">
        <v>2</v>
      </c>
      <c r="H37" s="1363" t="s">
        <v>80</v>
      </c>
      <c r="I37" s="1364">
        <v>0.05</v>
      </c>
      <c r="J37" s="901">
        <v>2</v>
      </c>
      <c r="K37" s="1622" t="s">
        <v>80</v>
      </c>
      <c r="L37" s="902">
        <v>0.05</v>
      </c>
      <c r="M37" s="903" t="s">
        <v>105</v>
      </c>
      <c r="N37" s="1621" t="s">
        <v>124</v>
      </c>
      <c r="O37" s="58"/>
      <c r="P37" s="58"/>
      <c r="Q37" s="58"/>
    </row>
    <row r="38" spans="1:17" ht="15.75">
      <c r="A38" s="58"/>
      <c r="B38" s="57"/>
      <c r="C38" s="1283">
        <v>5</v>
      </c>
      <c r="D38" s="2222" t="s">
        <v>125</v>
      </c>
      <c r="E38" s="2223"/>
      <c r="F38" s="72" t="s">
        <v>126</v>
      </c>
      <c r="G38" s="1362">
        <v>5</v>
      </c>
      <c r="H38" s="1363" t="s">
        <v>125</v>
      </c>
      <c r="I38" s="1364"/>
      <c r="J38" s="901">
        <v>5</v>
      </c>
      <c r="K38" s="1622" t="s">
        <v>125</v>
      </c>
      <c r="L38" s="902"/>
      <c r="M38" s="903" t="s">
        <v>126</v>
      </c>
      <c r="N38" s="58"/>
      <c r="O38" s="58"/>
      <c r="P38" s="58"/>
      <c r="Q38" s="58"/>
    </row>
    <row r="39" spans="1:17" ht="18.75">
      <c r="A39" s="58"/>
      <c r="B39" s="57"/>
      <c r="C39" s="1539">
        <v>1</v>
      </c>
      <c r="D39" s="1623" t="s">
        <v>127</v>
      </c>
      <c r="E39" s="2040"/>
      <c r="F39" s="72" t="s">
        <v>128</v>
      </c>
      <c r="G39" s="1362">
        <v>1</v>
      </c>
      <c r="H39" s="1363" t="s">
        <v>127</v>
      </c>
      <c r="I39" s="1364"/>
      <c r="J39" s="901">
        <v>1</v>
      </c>
      <c r="K39" s="1622" t="s">
        <v>127</v>
      </c>
      <c r="L39" s="902"/>
      <c r="M39" s="903" t="s">
        <v>128</v>
      </c>
      <c r="N39" s="58"/>
      <c r="O39" s="772" t="s">
        <v>131</v>
      </c>
      <c r="P39" s="58"/>
      <c r="Q39" s="58"/>
    </row>
    <row r="40" spans="1:17" ht="18.75">
      <c r="A40" s="58"/>
      <c r="B40" s="57"/>
      <c r="C40" s="1283">
        <v>1</v>
      </c>
      <c r="D40" s="2222" t="s">
        <v>129</v>
      </c>
      <c r="E40" s="2223"/>
      <c r="F40" s="72" t="s">
        <v>130</v>
      </c>
      <c r="G40" s="1362">
        <v>1</v>
      </c>
      <c r="H40" s="1363" t="s">
        <v>129</v>
      </c>
      <c r="I40" s="1364"/>
      <c r="J40" s="901">
        <v>1</v>
      </c>
      <c r="K40" s="1622" t="s">
        <v>129</v>
      </c>
      <c r="L40" s="902"/>
      <c r="M40" s="903" t="s">
        <v>130</v>
      </c>
      <c r="O40" s="74" t="s">
        <v>134</v>
      </c>
      <c r="P40" s="58"/>
      <c r="Q40" s="58"/>
    </row>
    <row r="41" spans="1:17" ht="18.75">
      <c r="A41" s="58"/>
      <c r="B41" s="57"/>
      <c r="C41" s="1283">
        <v>1</v>
      </c>
      <c r="D41" s="2222" t="s">
        <v>132</v>
      </c>
      <c r="E41" s="2223"/>
      <c r="F41" s="72" t="s">
        <v>133</v>
      </c>
      <c r="G41" s="1362">
        <v>1</v>
      </c>
      <c r="H41" s="1363" t="s">
        <v>132</v>
      </c>
      <c r="I41" s="1364"/>
      <c r="J41" s="901">
        <v>1</v>
      </c>
      <c r="K41" s="1622" t="s">
        <v>132</v>
      </c>
      <c r="L41" s="902"/>
      <c r="M41" s="903" t="s">
        <v>133</v>
      </c>
      <c r="N41" s="57"/>
      <c r="O41" s="771" t="s">
        <v>814</v>
      </c>
      <c r="P41" s="58"/>
      <c r="Q41" s="58"/>
    </row>
    <row r="42" spans="1:17" ht="18.75">
      <c r="A42" s="58"/>
      <c r="B42" s="57"/>
      <c r="C42" s="65"/>
      <c r="D42" s="72"/>
      <c r="E42" s="72"/>
      <c r="F42" s="72"/>
      <c r="G42" s="57"/>
      <c r="H42" s="57"/>
      <c r="I42" s="57"/>
      <c r="J42" s="57"/>
      <c r="K42" s="57"/>
      <c r="L42" s="57"/>
      <c r="M42" s="58"/>
      <c r="N42" s="773" t="s">
        <v>816</v>
      </c>
      <c r="O42" s="773" t="s">
        <v>815</v>
      </c>
      <c r="P42" s="58"/>
      <c r="Q42" s="58"/>
    </row>
    <row r="43" spans="1:17">
      <c r="A43" s="58"/>
      <c r="B43" s="57"/>
      <c r="C43" s="62" t="s">
        <v>135</v>
      </c>
      <c r="D43" s="72"/>
      <c r="E43" s="72"/>
      <c r="F43" s="72"/>
      <c r="G43" s="57"/>
      <c r="H43" s="57"/>
      <c r="I43" s="57"/>
      <c r="J43" s="57"/>
      <c r="K43" s="57"/>
      <c r="L43" s="57"/>
      <c r="M43" s="57"/>
      <c r="N43" s="57"/>
      <c r="O43" s="58"/>
      <c r="P43" s="58"/>
      <c r="Q43" s="58"/>
    </row>
    <row r="44" spans="1:17">
      <c r="A44" s="58"/>
      <c r="B44" s="57"/>
      <c r="C44" s="65" t="s">
        <v>137</v>
      </c>
      <c r="D44" s="72"/>
      <c r="E44" s="72"/>
      <c r="F44" s="72"/>
      <c r="G44" s="57"/>
      <c r="H44" s="57"/>
      <c r="I44" s="57"/>
      <c r="J44" s="57"/>
      <c r="K44" s="57"/>
      <c r="L44" s="57"/>
      <c r="M44" s="3302" t="s">
        <v>144</v>
      </c>
      <c r="N44" s="3303"/>
      <c r="O44" s="3303"/>
      <c r="P44" s="3304"/>
      <c r="Q44" s="58"/>
    </row>
    <row r="45" spans="1:17" ht="15.75">
      <c r="A45" s="58"/>
      <c r="B45" s="57"/>
      <c r="C45" s="1283">
        <v>0.5</v>
      </c>
      <c r="D45" s="2222" t="s">
        <v>140</v>
      </c>
      <c r="E45" s="2223"/>
      <c r="F45" s="72" t="s">
        <v>141</v>
      </c>
      <c r="G45" s="57"/>
      <c r="H45" s="2222" t="s">
        <v>125</v>
      </c>
      <c r="I45" s="72" t="s">
        <v>136</v>
      </c>
      <c r="J45" s="57"/>
      <c r="K45" s="57"/>
      <c r="L45" s="57"/>
      <c r="M45" s="3305"/>
      <c r="N45" s="2381"/>
      <c r="O45" s="2381"/>
      <c r="P45" s="3306"/>
      <c r="Q45" s="58"/>
    </row>
    <row r="46" spans="1:17" ht="15.75">
      <c r="A46" s="58"/>
      <c r="B46" s="57"/>
      <c r="C46" s="1283">
        <v>0.25</v>
      </c>
      <c r="D46" s="2222" t="s">
        <v>142</v>
      </c>
      <c r="E46" s="2223"/>
      <c r="F46" s="72" t="s">
        <v>143</v>
      </c>
      <c r="G46" s="57"/>
      <c r="H46" s="2222" t="s">
        <v>138</v>
      </c>
      <c r="I46" s="72" t="s">
        <v>139</v>
      </c>
      <c r="J46" s="57"/>
      <c r="K46" s="57"/>
      <c r="L46" s="57"/>
      <c r="M46" s="3305"/>
      <c r="N46" s="2381"/>
      <c r="O46" s="2381"/>
      <c r="P46" s="3306"/>
      <c r="Q46" s="58"/>
    </row>
    <row r="47" spans="1:17" ht="15" customHeight="1">
      <c r="A47" s="58"/>
      <c r="B47" s="57"/>
      <c r="C47" s="65"/>
      <c r="D47" s="65"/>
      <c r="E47" s="65"/>
      <c r="F47" s="57"/>
      <c r="G47" s="57"/>
      <c r="H47" s="57"/>
      <c r="I47" s="57"/>
      <c r="J47" s="57"/>
      <c r="K47" s="57"/>
      <c r="L47" s="57"/>
      <c r="M47" s="3305"/>
      <c r="N47" s="2381"/>
      <c r="O47" s="2381"/>
      <c r="P47" s="3306"/>
      <c r="Q47" s="58"/>
    </row>
    <row r="48" spans="1:17" ht="15" customHeight="1">
      <c r="A48" s="58"/>
      <c r="B48" s="57"/>
      <c r="C48" s="62" t="s">
        <v>146</v>
      </c>
      <c r="D48" s="65"/>
      <c r="E48" s="65"/>
      <c r="F48" s="57"/>
      <c r="G48" s="57"/>
      <c r="H48" s="57"/>
      <c r="I48" s="57"/>
      <c r="J48" s="57"/>
      <c r="K48" s="57"/>
      <c r="L48" s="57"/>
      <c r="M48" s="3305"/>
      <c r="N48" s="2381"/>
      <c r="O48" s="2381"/>
      <c r="P48" s="3306"/>
      <c r="Q48" s="58"/>
    </row>
    <row r="49" spans="1:17" ht="15" customHeight="1">
      <c r="A49" s="58"/>
      <c r="B49" s="57"/>
      <c r="C49" s="62" t="s">
        <v>147</v>
      </c>
      <c r="D49" s="65"/>
      <c r="E49" s="65"/>
      <c r="F49" s="57"/>
      <c r="G49" s="57"/>
      <c r="H49" s="57"/>
      <c r="I49" s="57"/>
      <c r="J49" s="57"/>
      <c r="K49" s="57"/>
      <c r="L49" s="57"/>
      <c r="M49" s="3307"/>
      <c r="N49" s="3308"/>
      <c r="O49" s="3308"/>
      <c r="P49" s="3309"/>
      <c r="Q49" s="58"/>
    </row>
    <row r="50" spans="1:17" ht="15" customHeight="1">
      <c r="A50" s="58"/>
      <c r="B50" s="57"/>
      <c r="C50" s="70" t="s">
        <v>148</v>
      </c>
      <c r="D50" s="70"/>
      <c r="E50" s="70"/>
      <c r="F50" s="70"/>
      <c r="G50" s="70"/>
      <c r="H50" s="70"/>
      <c r="I50" s="70"/>
      <c r="J50" s="57"/>
      <c r="K50" s="57"/>
      <c r="L50" s="57"/>
      <c r="M50" s="54"/>
      <c r="N50" s="54"/>
      <c r="O50" s="54"/>
      <c r="P50" s="54"/>
      <c r="Q50" s="58"/>
    </row>
    <row r="51" spans="1:17" ht="15" customHeight="1">
      <c r="A51" s="58"/>
      <c r="B51" s="57"/>
      <c r="C51" s="70"/>
      <c r="D51" s="70" t="s">
        <v>690</v>
      </c>
      <c r="E51" s="70"/>
      <c r="F51" s="70"/>
      <c r="G51" s="70"/>
      <c r="H51" s="70"/>
      <c r="I51" s="70"/>
      <c r="J51" s="57"/>
      <c r="K51" s="57"/>
      <c r="L51" s="57"/>
      <c r="M51" s="3310" t="s">
        <v>151</v>
      </c>
      <c r="N51" s="3311"/>
      <c r="O51" s="3311"/>
      <c r="P51" s="3312"/>
      <c r="Q51" s="58"/>
    </row>
    <row r="52" spans="1:17" ht="15" customHeight="1">
      <c r="A52" s="58"/>
      <c r="B52" s="57"/>
      <c r="C52" s="70"/>
      <c r="D52" s="70" t="s">
        <v>691</v>
      </c>
      <c r="E52" s="70"/>
      <c r="F52" s="70"/>
      <c r="G52" s="70"/>
      <c r="H52" s="70"/>
      <c r="I52" s="70"/>
      <c r="J52" s="57"/>
      <c r="K52" s="57"/>
      <c r="L52" s="57"/>
      <c r="M52" s="3313"/>
      <c r="N52" s="2370"/>
      <c r="O52" s="2370"/>
      <c r="P52" s="3314"/>
      <c r="Q52" s="58"/>
    </row>
    <row r="53" spans="1:17" ht="15" customHeight="1">
      <c r="A53" s="58"/>
      <c r="B53" s="57"/>
      <c r="C53" s="70"/>
      <c r="D53" s="70" t="s">
        <v>692</v>
      </c>
      <c r="E53" s="70"/>
      <c r="F53" s="70"/>
      <c r="G53" s="70"/>
      <c r="H53" s="70"/>
      <c r="I53" s="70"/>
      <c r="J53" s="57"/>
      <c r="K53" s="57"/>
      <c r="L53" s="58"/>
      <c r="M53" s="3313"/>
      <c r="N53" s="2370"/>
      <c r="O53" s="2370"/>
      <c r="P53" s="3314"/>
      <c r="Q53" s="58"/>
    </row>
    <row r="54" spans="1:17" ht="15" customHeight="1">
      <c r="A54" s="58"/>
      <c r="B54" s="57"/>
      <c r="C54" s="70"/>
      <c r="D54" s="70" t="s">
        <v>150</v>
      </c>
      <c r="E54" s="70"/>
      <c r="F54" s="70"/>
      <c r="G54" s="70"/>
      <c r="H54" s="70"/>
      <c r="I54" s="70"/>
      <c r="J54" s="57"/>
      <c r="K54" s="57"/>
      <c r="L54" s="58"/>
      <c r="M54" s="3315"/>
      <c r="N54" s="3316"/>
      <c r="O54" s="3316"/>
      <c r="P54" s="3317"/>
      <c r="Q54" s="58"/>
    </row>
    <row r="55" spans="1:17" ht="15" customHeight="1">
      <c r="A55" s="58"/>
      <c r="B55" s="57"/>
      <c r="C55" s="70"/>
      <c r="D55" s="70"/>
      <c r="E55" s="70"/>
      <c r="F55" s="70"/>
      <c r="G55" s="70"/>
      <c r="H55" s="70"/>
      <c r="I55" s="70"/>
      <c r="J55" s="57"/>
      <c r="K55" s="57"/>
      <c r="L55" s="58"/>
      <c r="M55" s="58"/>
      <c r="N55" s="58"/>
      <c r="O55" s="58"/>
      <c r="P55" s="58"/>
      <c r="Q55" s="58"/>
    </row>
    <row r="56" spans="1:17">
      <c r="A56" s="1647"/>
      <c r="B56" s="1648"/>
      <c r="C56" s="1649"/>
      <c r="D56" s="1649"/>
      <c r="E56" s="1649"/>
      <c r="F56" s="1649"/>
      <c r="G56" s="1649"/>
      <c r="H56" s="1649"/>
      <c r="I56" s="1649"/>
      <c r="J56" s="1648"/>
      <c r="K56" s="1648"/>
      <c r="L56" s="1648"/>
      <c r="M56" s="1647"/>
      <c r="N56" s="1647"/>
      <c r="O56" s="1647"/>
      <c r="P56" s="1647"/>
      <c r="Q56" s="1647"/>
    </row>
    <row r="57" spans="1:17" ht="15" customHeight="1">
      <c r="B57" s="54"/>
      <c r="C57" s="54"/>
      <c r="D57" s="54"/>
      <c r="E57" s="1029"/>
      <c r="F57" s="1029"/>
      <c r="G57" s="54"/>
      <c r="H57" s="54"/>
      <c r="I57" s="54"/>
      <c r="J57" s="54"/>
      <c r="K57" s="54"/>
      <c r="L57" s="58"/>
      <c r="M57" s="58"/>
      <c r="N57" s="58"/>
      <c r="O57" s="58"/>
      <c r="P57" s="58"/>
      <c r="Q57" s="58"/>
    </row>
    <row r="58" spans="1:17" ht="15" customHeight="1">
      <c r="A58" s="58"/>
      <c r="B58" s="1029"/>
      <c r="C58" s="1031" t="s">
        <v>157</v>
      </c>
      <c r="D58" s="54"/>
      <c r="E58" s="1029"/>
      <c r="F58" s="1029"/>
      <c r="G58" s="54"/>
      <c r="H58" s="54"/>
      <c r="I58" s="54"/>
      <c r="J58" s="54"/>
      <c r="K58" s="54"/>
      <c r="L58" s="54"/>
      <c r="M58" s="58"/>
      <c r="N58" s="58"/>
      <c r="O58" s="58"/>
      <c r="P58" s="58"/>
      <c r="Q58" s="58"/>
    </row>
    <row r="59" spans="1:17" ht="15" customHeight="1">
      <c r="A59" s="58"/>
      <c r="B59" s="1644" t="s">
        <v>1778</v>
      </c>
      <c r="C59" s="1032" t="s">
        <v>158</v>
      </c>
      <c r="D59" s="54"/>
      <c r="E59" s="1032"/>
      <c r="F59" s="1032"/>
      <c r="G59" s="70"/>
      <c r="H59" s="54"/>
      <c r="I59" s="54"/>
      <c r="J59" s="54"/>
      <c r="K59" s="54"/>
      <c r="L59" s="54"/>
      <c r="M59" s="3318" t="s">
        <v>4</v>
      </c>
      <c r="N59" s="3319"/>
      <c r="O59" s="3319"/>
      <c r="P59" s="3320"/>
      <c r="Q59" s="58"/>
    </row>
    <row r="60" spans="1:17" ht="21">
      <c r="A60" s="58"/>
      <c r="B60" s="1033"/>
      <c r="C60" s="1033"/>
      <c r="D60" s="54"/>
      <c r="E60" s="1032"/>
      <c r="F60" s="1032"/>
      <c r="G60" s="70"/>
      <c r="H60" s="54"/>
      <c r="I60" s="54"/>
      <c r="J60" s="54"/>
      <c r="K60" s="54"/>
      <c r="L60" s="54"/>
      <c r="M60" s="3321"/>
      <c r="N60" s="2432"/>
      <c r="O60" s="2432"/>
      <c r="P60" s="3322"/>
      <c r="Q60" s="58"/>
    </row>
    <row r="61" spans="1:17" ht="15" customHeight="1">
      <c r="A61" s="58"/>
      <c r="B61" s="1644" t="s">
        <v>1778</v>
      </c>
      <c r="C61" s="3323" t="s">
        <v>159</v>
      </c>
      <c r="D61" s="3323"/>
      <c r="E61" s="3323"/>
      <c r="F61" s="3323"/>
      <c r="G61" s="3323"/>
      <c r="H61" s="3323"/>
      <c r="I61" s="70"/>
      <c r="J61" s="57"/>
      <c r="K61" s="54"/>
      <c r="L61" s="54"/>
      <c r="M61" s="3321"/>
      <c r="N61" s="2432"/>
      <c r="O61" s="2432"/>
      <c r="P61" s="3322"/>
      <c r="Q61" s="58"/>
    </row>
    <row r="62" spans="1:17" ht="21">
      <c r="A62" s="58"/>
      <c r="B62" s="1033"/>
      <c r="C62" s="1029"/>
      <c r="D62" s="54"/>
      <c r="E62" s="1029"/>
      <c r="F62" s="1029"/>
      <c r="G62" s="70"/>
      <c r="H62" s="70"/>
      <c r="I62" s="70"/>
      <c r="J62" s="57"/>
      <c r="K62" s="54"/>
      <c r="L62" s="54"/>
      <c r="M62" s="3321"/>
      <c r="N62" s="2432"/>
      <c r="O62" s="2432"/>
      <c r="P62" s="3322"/>
      <c r="Q62" s="58"/>
    </row>
    <row r="63" spans="1:17" ht="21">
      <c r="A63" s="58"/>
      <c r="B63" s="1029"/>
      <c r="C63" s="1031" t="s">
        <v>160</v>
      </c>
      <c r="D63" s="54"/>
      <c r="E63" s="1029"/>
      <c r="F63" s="1029"/>
      <c r="G63" s="70"/>
      <c r="H63" s="70"/>
      <c r="I63" s="70"/>
      <c r="J63" s="57"/>
      <c r="K63" s="54"/>
      <c r="L63" s="57"/>
      <c r="M63" s="3324" t="s">
        <v>3</v>
      </c>
      <c r="N63" s="2435"/>
      <c r="O63" s="2435"/>
      <c r="P63" s="3325"/>
      <c r="Q63" s="58"/>
    </row>
    <row r="64" spans="1:17" ht="21">
      <c r="A64" s="58"/>
      <c r="B64" s="1644" t="s">
        <v>1778</v>
      </c>
      <c r="C64" s="3329" t="s">
        <v>161</v>
      </c>
      <c r="D64" s="3329"/>
      <c r="E64" s="3329"/>
      <c r="F64" s="3329"/>
      <c r="G64" s="3329"/>
      <c r="H64" s="3329"/>
      <c r="I64" s="3329"/>
      <c r="J64" s="3329"/>
      <c r="K64" s="54"/>
      <c r="L64" s="57"/>
      <c r="M64" s="3324"/>
      <c r="N64" s="2435"/>
      <c r="O64" s="2435"/>
      <c r="P64" s="3325"/>
      <c r="Q64" s="58"/>
    </row>
    <row r="65" spans="1:18" ht="21">
      <c r="A65" s="58"/>
      <c r="B65" s="1032"/>
      <c r="C65" s="1032"/>
      <c r="D65" s="54"/>
      <c r="E65" s="1032"/>
      <c r="F65" s="1032"/>
      <c r="G65" s="70"/>
      <c r="H65" s="76"/>
      <c r="I65" s="70"/>
      <c r="J65" s="57"/>
      <c r="K65" s="57"/>
      <c r="L65" s="57"/>
      <c r="M65" s="3326"/>
      <c r="N65" s="3327"/>
      <c r="O65" s="3327"/>
      <c r="P65" s="3328"/>
      <c r="Q65" s="58"/>
    </row>
    <row r="66" spans="1:18" ht="21">
      <c r="A66" s="58"/>
      <c r="B66" s="1644" t="s">
        <v>1778</v>
      </c>
      <c r="C66" s="3291" t="s">
        <v>1557</v>
      </c>
      <c r="D66" s="3291"/>
      <c r="E66" s="3291"/>
      <c r="F66" s="3291"/>
      <c r="G66" s="70"/>
      <c r="H66" s="76"/>
      <c r="I66" s="70"/>
      <c r="J66" s="57"/>
      <c r="K66" s="57"/>
      <c r="L66" s="57"/>
      <c r="M66" s="58"/>
      <c r="N66" s="58"/>
      <c r="O66" s="58"/>
      <c r="P66" s="58"/>
    </row>
    <row r="67" spans="1:18" ht="21">
      <c r="A67" s="58"/>
      <c r="B67" s="2046"/>
      <c r="C67" s="2046"/>
      <c r="D67" s="2046"/>
      <c r="E67" s="2046"/>
      <c r="F67" s="2046"/>
      <c r="G67" s="70"/>
      <c r="H67" s="76"/>
      <c r="I67" s="70"/>
      <c r="J67" s="57"/>
      <c r="K67" s="57"/>
      <c r="L67" s="57"/>
      <c r="M67" s="58"/>
      <c r="N67" s="58"/>
      <c r="O67" s="58"/>
      <c r="P67" s="58"/>
      <c r="Q67" s="58"/>
      <c r="R67" s="2225"/>
    </row>
    <row r="68" spans="1:18" ht="21">
      <c r="A68" s="58"/>
      <c r="B68" s="1644" t="s">
        <v>1778</v>
      </c>
      <c r="C68" s="3292" t="s">
        <v>2539</v>
      </c>
      <c r="D68" s="3292"/>
      <c r="E68" s="3292"/>
      <c r="F68" s="2046"/>
      <c r="G68" s="70"/>
      <c r="H68" s="76"/>
      <c r="I68" s="70"/>
      <c r="J68" s="57"/>
      <c r="K68" s="57"/>
      <c r="L68" s="57"/>
      <c r="M68" s="58"/>
      <c r="N68" s="58"/>
      <c r="O68" s="58"/>
      <c r="P68" s="58"/>
      <c r="Q68" s="58"/>
      <c r="R68" s="2225"/>
    </row>
    <row r="69" spans="1:18" ht="21" customHeight="1">
      <c r="A69" s="58"/>
      <c r="B69" s="1032"/>
      <c r="C69" s="76"/>
      <c r="D69" s="54"/>
      <c r="E69" s="1032"/>
      <c r="F69" s="1032"/>
      <c r="G69" s="70"/>
      <c r="H69" s="76"/>
      <c r="I69" s="70"/>
      <c r="J69" s="57"/>
      <c r="K69" s="57"/>
      <c r="L69" s="57"/>
      <c r="M69" s="57"/>
      <c r="N69" s="57"/>
      <c r="O69" s="57"/>
      <c r="P69" s="57"/>
      <c r="Q69" s="58"/>
    </row>
    <row r="70" spans="1:18" ht="21">
      <c r="A70" s="58"/>
      <c r="B70" s="1644" t="s">
        <v>1778</v>
      </c>
      <c r="C70" s="2359" t="s">
        <v>1558</v>
      </c>
      <c r="D70" s="2359"/>
      <c r="E70" s="76"/>
      <c r="F70" s="76"/>
      <c r="G70" s="70"/>
      <c r="H70" s="76"/>
      <c r="I70" s="70"/>
      <c r="J70" s="57"/>
      <c r="K70" s="57"/>
      <c r="L70" s="57"/>
      <c r="M70" s="3293" t="s">
        <v>1709</v>
      </c>
      <c r="N70" s="3294"/>
      <c r="O70" s="3294"/>
      <c r="P70" s="3295"/>
      <c r="Q70" s="58"/>
    </row>
    <row r="71" spans="1:18" ht="21">
      <c r="A71" s="58"/>
      <c r="B71" s="1032"/>
      <c r="C71" s="1034"/>
      <c r="D71" s="1032"/>
      <c r="E71" s="76"/>
      <c r="F71" s="70"/>
      <c r="G71" s="70"/>
      <c r="H71" s="76"/>
      <c r="I71" s="70"/>
      <c r="J71" s="57"/>
      <c r="K71" s="57"/>
      <c r="L71" s="57"/>
      <c r="M71" s="3296" t="s">
        <v>145</v>
      </c>
      <c r="N71" s="3297"/>
      <c r="O71" s="3297"/>
      <c r="P71" s="3298"/>
      <c r="Q71" s="58"/>
    </row>
    <row r="72" spans="1:18" ht="21">
      <c r="A72" s="58"/>
      <c r="B72" s="1644" t="s">
        <v>1778</v>
      </c>
      <c r="C72" s="2359" t="s">
        <v>1559</v>
      </c>
      <c r="D72" s="2359"/>
      <c r="E72" s="2359"/>
      <c r="F72" s="70"/>
      <c r="I72" s="70"/>
      <c r="J72" s="57"/>
      <c r="K72" s="54"/>
      <c r="L72" s="54"/>
      <c r="M72" s="3296"/>
      <c r="N72" s="3297"/>
      <c r="O72" s="3297"/>
      <c r="P72" s="3298"/>
      <c r="Q72" s="58"/>
    </row>
    <row r="73" spans="1:18" ht="21">
      <c r="A73" s="58"/>
      <c r="B73" s="1032"/>
      <c r="C73" s="76"/>
      <c r="D73" s="76"/>
      <c r="E73" s="76"/>
      <c r="F73" s="70"/>
      <c r="G73" s="70"/>
      <c r="H73" s="76"/>
      <c r="I73" s="70"/>
      <c r="J73" s="57"/>
      <c r="K73" s="54"/>
      <c r="L73" s="54"/>
      <c r="M73" s="3296"/>
      <c r="N73" s="3297"/>
      <c r="O73" s="3297"/>
      <c r="P73" s="3298"/>
      <c r="Q73" s="58"/>
    </row>
    <row r="74" spans="1:18" ht="21">
      <c r="A74" s="58"/>
      <c r="B74" s="1644" t="s">
        <v>1778</v>
      </c>
      <c r="C74" s="2359" t="s">
        <v>1560</v>
      </c>
      <c r="D74" s="2359"/>
      <c r="E74" s="2359"/>
      <c r="F74" s="76"/>
      <c r="G74" s="70"/>
      <c r="H74" s="76"/>
      <c r="I74" s="70"/>
      <c r="J74" s="57"/>
      <c r="K74" s="54"/>
      <c r="L74" s="54"/>
      <c r="M74" s="3296"/>
      <c r="N74" s="3297"/>
      <c r="O74" s="3297"/>
      <c r="P74" s="3298"/>
      <c r="Q74" s="58"/>
    </row>
    <row r="75" spans="1:18" ht="21">
      <c r="A75" s="58"/>
      <c r="B75" s="1032"/>
      <c r="C75" s="1032"/>
      <c r="D75" s="76"/>
      <c r="E75" s="76"/>
      <c r="F75" s="76"/>
      <c r="G75" s="70"/>
      <c r="H75" s="76"/>
      <c r="I75" s="70"/>
      <c r="J75" s="57"/>
      <c r="K75" s="54"/>
      <c r="L75" s="54"/>
      <c r="M75" s="3275" t="s">
        <v>149</v>
      </c>
      <c r="N75" s="3276"/>
      <c r="O75" s="3276"/>
      <c r="P75" s="3277"/>
      <c r="Q75" s="58"/>
    </row>
    <row r="76" spans="1:18" ht="21">
      <c r="A76" s="58"/>
      <c r="B76" s="1644" t="s">
        <v>1778</v>
      </c>
      <c r="C76" s="3278" t="s">
        <v>1785</v>
      </c>
      <c r="D76" s="3278"/>
      <c r="E76" s="3278"/>
      <c r="G76" s="70"/>
      <c r="H76" s="76"/>
      <c r="I76" s="70"/>
      <c r="J76" s="57"/>
      <c r="K76" s="54"/>
      <c r="L76" s="54"/>
      <c r="M76" s="3275"/>
      <c r="N76" s="3276"/>
      <c r="O76" s="3276"/>
      <c r="P76" s="3277"/>
      <c r="Q76" s="58"/>
    </row>
    <row r="77" spans="1:18" ht="15" customHeight="1">
      <c r="A77" s="58"/>
      <c r="B77" s="2226"/>
      <c r="C77" s="70"/>
      <c r="D77" s="70"/>
      <c r="E77" s="70"/>
      <c r="F77" s="70"/>
      <c r="G77" s="70"/>
      <c r="H77" s="70"/>
      <c r="I77" s="70"/>
      <c r="J77" s="57"/>
      <c r="K77" s="54"/>
      <c r="L77" s="54"/>
      <c r="M77" s="3275"/>
      <c r="N77" s="3276"/>
      <c r="O77" s="3276"/>
      <c r="P77" s="3277"/>
      <c r="Q77" s="58"/>
    </row>
    <row r="78" spans="1:18" ht="21">
      <c r="A78" s="58"/>
      <c r="B78" s="1644" t="s">
        <v>1778</v>
      </c>
      <c r="C78" s="3279" t="s">
        <v>1786</v>
      </c>
      <c r="D78" s="3279"/>
      <c r="E78" s="3279"/>
      <c r="F78" s="3279"/>
      <c r="G78" s="70"/>
      <c r="H78" s="70"/>
      <c r="I78" s="70"/>
      <c r="J78" s="57"/>
      <c r="K78" s="54"/>
      <c r="L78" s="54"/>
      <c r="M78" s="3280" t="s">
        <v>153</v>
      </c>
      <c r="N78" s="3281"/>
      <c r="O78" s="3281"/>
      <c r="P78" s="3282"/>
      <c r="Q78" s="58"/>
    </row>
    <row r="79" spans="1:18">
      <c r="A79" s="54"/>
      <c r="B79" s="54"/>
      <c r="C79" s="54"/>
      <c r="D79" s="54"/>
      <c r="E79" s="54"/>
      <c r="F79" s="54"/>
      <c r="G79" s="54"/>
      <c r="H79" s="54"/>
      <c r="I79" s="54"/>
      <c r="J79" s="54"/>
      <c r="K79" s="57"/>
      <c r="L79" s="57"/>
      <c r="M79" s="3280"/>
      <c r="N79" s="3281"/>
      <c r="O79" s="3281"/>
      <c r="P79" s="3282"/>
      <c r="Q79" s="58"/>
    </row>
    <row r="80" spans="1:18">
      <c r="A80" s="54"/>
      <c r="B80" s="54"/>
      <c r="C80" s="54"/>
      <c r="D80" s="54"/>
      <c r="E80" s="54"/>
      <c r="F80" s="54"/>
      <c r="G80" s="54"/>
      <c r="H80" s="54"/>
      <c r="I80" s="54"/>
      <c r="J80" s="54"/>
      <c r="K80" s="57"/>
      <c r="L80" s="57"/>
      <c r="M80" s="3283"/>
      <c r="N80" s="3284"/>
      <c r="O80" s="3284"/>
      <c r="P80" s="3285"/>
      <c r="Q80" s="58"/>
    </row>
    <row r="81" spans="1:17">
      <c r="A81" s="58"/>
      <c r="B81" s="57"/>
      <c r="C81" s="70"/>
      <c r="D81" s="70"/>
      <c r="E81" s="70"/>
      <c r="F81" s="70"/>
      <c r="G81" s="70"/>
      <c r="H81" s="70"/>
      <c r="I81" s="70"/>
      <c r="J81" s="57"/>
      <c r="K81" s="57"/>
      <c r="L81" s="57"/>
      <c r="M81" s="58"/>
      <c r="N81" s="58"/>
      <c r="O81" s="58"/>
      <c r="P81" s="58"/>
      <c r="Q81" s="58"/>
    </row>
    <row r="82" spans="1:17">
      <c r="A82" s="1647"/>
      <c r="B82" s="1648"/>
      <c r="C82" s="1649"/>
      <c r="D82" s="1649"/>
      <c r="E82" s="1649"/>
      <c r="F82" s="1649"/>
      <c r="G82" s="1649"/>
      <c r="H82" s="1649"/>
      <c r="I82" s="1649"/>
      <c r="J82" s="1648"/>
      <c r="K82" s="1648"/>
      <c r="L82" s="1648"/>
      <c r="M82" s="1647"/>
      <c r="N82" s="1647"/>
      <c r="O82" s="1647"/>
      <c r="P82" s="1647"/>
      <c r="Q82" s="1647"/>
    </row>
    <row r="83" spans="1:17" ht="15" customHeight="1">
      <c r="B83" s="54"/>
      <c r="C83" s="54"/>
      <c r="D83" s="54"/>
      <c r="E83" s="1029"/>
      <c r="F83" s="1029"/>
      <c r="G83" s="54"/>
      <c r="H83" s="54"/>
      <c r="I83" s="54"/>
      <c r="J83" s="54"/>
      <c r="K83" s="54"/>
      <c r="L83" s="58"/>
      <c r="M83" s="58"/>
      <c r="N83" s="58"/>
      <c r="O83" s="58"/>
      <c r="P83" s="58"/>
      <c r="Q83" s="58"/>
    </row>
    <row r="84" spans="1:17" ht="15" customHeight="1">
      <c r="B84" s="54"/>
      <c r="C84" s="964" t="s">
        <v>1494</v>
      </c>
      <c r="D84" s="965"/>
      <c r="E84" s="965"/>
      <c r="F84" s="965"/>
      <c r="G84" s="965"/>
      <c r="H84" s="965"/>
      <c r="I84" s="965"/>
      <c r="J84" s="965"/>
      <c r="K84" s="965"/>
      <c r="L84" s="965"/>
      <c r="M84" s="829"/>
      <c r="N84" s="58"/>
      <c r="O84" s="58"/>
      <c r="P84" s="58"/>
      <c r="Q84" s="58"/>
    </row>
    <row r="85" spans="1:17" ht="45" customHeight="1">
      <c r="B85" s="54"/>
      <c r="C85" s="1624"/>
      <c r="D85" s="1624"/>
      <c r="E85" s="1624"/>
      <c r="F85" s="1624"/>
      <c r="G85" s="1624"/>
      <c r="H85" s="1624"/>
      <c r="I85" s="1624"/>
      <c r="J85" s="1624"/>
      <c r="K85" s="1624"/>
      <c r="L85" s="58"/>
      <c r="M85" s="58"/>
      <c r="N85" s="58"/>
      <c r="O85" s="58"/>
      <c r="P85" s="58"/>
      <c r="Q85" s="58"/>
    </row>
    <row r="86" spans="1:17" ht="15" customHeight="1">
      <c r="B86" s="54"/>
      <c r="C86" s="54"/>
      <c r="D86" s="54"/>
      <c r="E86" s="1029"/>
      <c r="F86" s="1029"/>
      <c r="G86" s="54"/>
      <c r="H86" s="54"/>
      <c r="I86" s="54"/>
      <c r="J86" s="54"/>
      <c r="K86" s="54"/>
      <c r="L86" s="58"/>
      <c r="M86" s="58"/>
      <c r="N86" s="58"/>
      <c r="O86" s="58"/>
      <c r="P86" s="58"/>
      <c r="Q86" s="58"/>
    </row>
    <row r="87" spans="1:17" ht="15" customHeight="1" thickBot="1">
      <c r="B87" s="54"/>
      <c r="C87" s="54"/>
      <c r="D87" s="54"/>
      <c r="E87" s="1029"/>
      <c r="F87" s="1029"/>
      <c r="G87" s="54"/>
      <c r="H87" s="54"/>
      <c r="I87" s="54"/>
      <c r="J87" s="54"/>
      <c r="K87" s="54"/>
      <c r="L87" s="58"/>
      <c r="M87" s="58"/>
      <c r="N87" s="58"/>
      <c r="O87" s="58"/>
      <c r="P87" s="58"/>
      <c r="Q87" s="58"/>
    </row>
    <row r="88" spans="1:17" ht="20.100000000000001" customHeight="1">
      <c r="B88" s="3286" t="s">
        <v>1458</v>
      </c>
      <c r="C88" s="3287"/>
      <c r="D88" s="3287"/>
      <c r="E88" s="3287"/>
      <c r="F88" s="3287"/>
      <c r="G88" s="3287"/>
      <c r="H88" s="3287"/>
      <c r="I88" s="3287"/>
      <c r="J88" s="3287"/>
      <c r="K88" s="3287"/>
      <c r="L88" s="3288"/>
      <c r="M88" s="54"/>
      <c r="N88" s="58"/>
      <c r="O88" s="58"/>
      <c r="P88" s="58"/>
      <c r="Q88" s="58"/>
    </row>
    <row r="89" spans="1:17" ht="20.100000000000001" customHeight="1">
      <c r="B89" s="1625"/>
      <c r="C89" s="1626"/>
      <c r="D89" s="1626"/>
      <c r="E89" s="1626"/>
      <c r="F89" s="1626"/>
      <c r="G89" s="1626"/>
      <c r="H89" s="1626"/>
      <c r="I89" s="1626"/>
      <c r="J89" s="1626"/>
      <c r="K89" s="1626"/>
      <c r="L89" s="1627"/>
      <c r="M89" s="54"/>
      <c r="N89" s="58"/>
      <c r="O89" s="58"/>
      <c r="P89" s="58"/>
      <c r="Q89" s="58"/>
    </row>
    <row r="90" spans="1:17" ht="20.100000000000001" customHeight="1">
      <c r="B90" s="942" t="s">
        <v>1461</v>
      </c>
      <c r="C90" s="943">
        <v>3</v>
      </c>
      <c r="D90" s="873"/>
      <c r="E90" s="3289" t="s">
        <v>1462</v>
      </c>
      <c r="F90" s="3289"/>
      <c r="G90" s="3289"/>
      <c r="H90" s="3289"/>
      <c r="I90" s="3289"/>
      <c r="J90" s="3289"/>
      <c r="K90" s="3289"/>
      <c r="L90" s="3290"/>
      <c r="M90" s="54"/>
      <c r="N90" s="58"/>
      <c r="O90" s="58"/>
      <c r="P90" s="58"/>
      <c r="Q90" s="58"/>
    </row>
    <row r="91" spans="1:17" ht="20.100000000000001" customHeight="1">
      <c r="B91" s="942"/>
      <c r="C91" s="1628"/>
      <c r="D91" s="873"/>
      <c r="E91" s="3289"/>
      <c r="F91" s="3289"/>
      <c r="G91" s="3289"/>
      <c r="H91" s="3289"/>
      <c r="I91" s="3289"/>
      <c r="J91" s="3289"/>
      <c r="K91" s="3289"/>
      <c r="L91" s="3290"/>
      <c r="M91" s="54"/>
      <c r="N91" s="58"/>
      <c r="O91" s="58"/>
      <c r="P91" s="58"/>
      <c r="Q91" s="58"/>
    </row>
    <row r="92" spans="1:17" ht="20.100000000000001" customHeight="1">
      <c r="B92" s="942" t="s">
        <v>1465</v>
      </c>
      <c r="C92" s="944"/>
      <c r="D92" s="873"/>
      <c r="E92" s="3289"/>
      <c r="F92" s="3289"/>
      <c r="G92" s="3289"/>
      <c r="H92" s="3289"/>
      <c r="I92" s="3289"/>
      <c r="J92" s="3289"/>
      <c r="K92" s="3289"/>
      <c r="L92" s="3290"/>
      <c r="M92" s="58"/>
      <c r="N92" s="58"/>
      <c r="O92" s="58"/>
      <c r="P92" s="58"/>
      <c r="Q92" s="58"/>
    </row>
    <row r="93" spans="1:17" ht="20.100000000000001" customHeight="1">
      <c r="B93" s="942"/>
      <c r="C93" s="944"/>
      <c r="D93" s="873"/>
      <c r="E93" s="3289"/>
      <c r="F93" s="3289"/>
      <c r="G93" s="3289"/>
      <c r="H93" s="3289"/>
      <c r="I93" s="3289"/>
      <c r="J93" s="3289"/>
      <c r="K93" s="3289"/>
      <c r="L93" s="3290"/>
      <c r="M93" s="58"/>
      <c r="N93" s="58"/>
      <c r="O93" s="58"/>
      <c r="P93" s="58"/>
      <c r="Q93" s="58"/>
    </row>
    <row r="94" spans="1:17" ht="20.100000000000001" customHeight="1">
      <c r="B94" s="942" t="s">
        <v>1468</v>
      </c>
      <c r="C94" s="944"/>
      <c r="D94" s="873"/>
      <c r="E94" s="3289"/>
      <c r="F94" s="3289"/>
      <c r="G94" s="3289"/>
      <c r="H94" s="3289"/>
      <c r="I94" s="3289"/>
      <c r="J94" s="3289"/>
      <c r="K94" s="3289"/>
      <c r="L94" s="3290"/>
      <c r="M94" s="58"/>
      <c r="N94" s="58"/>
      <c r="O94" s="58"/>
      <c r="P94" s="58"/>
      <c r="Q94" s="58"/>
    </row>
    <row r="95" spans="1:17" ht="20.100000000000001" customHeight="1">
      <c r="B95" s="942"/>
      <c r="C95" s="944"/>
      <c r="D95" s="873"/>
      <c r="E95" s="2043"/>
      <c r="F95" s="2043"/>
      <c r="G95" s="2043"/>
      <c r="H95" s="2043"/>
      <c r="I95" s="2043"/>
      <c r="J95" s="2043"/>
      <c r="K95" s="2043"/>
      <c r="L95" s="2044"/>
      <c r="M95" s="58"/>
      <c r="N95" s="58"/>
      <c r="O95" s="58"/>
      <c r="P95" s="58"/>
      <c r="Q95" s="58"/>
    </row>
    <row r="96" spans="1:17" ht="20.100000000000001" customHeight="1">
      <c r="B96" s="945"/>
      <c r="C96" s="873"/>
      <c r="D96" s="873"/>
      <c r="E96" s="946"/>
      <c r="F96" s="947" t="s">
        <v>1471</v>
      </c>
      <c r="G96" s="948" t="s">
        <v>1472</v>
      </c>
      <c r="H96" s="948" t="s">
        <v>1473</v>
      </c>
      <c r="I96" s="948" t="s">
        <v>1474</v>
      </c>
      <c r="J96" s="948" t="s">
        <v>1475</v>
      </c>
      <c r="K96" s="948" t="s">
        <v>1476</v>
      </c>
      <c r="L96" s="949" t="s">
        <v>1477</v>
      </c>
      <c r="M96" s="58"/>
      <c r="N96" s="58"/>
      <c r="O96" s="58"/>
      <c r="P96" s="58"/>
      <c r="Q96" s="58"/>
    </row>
    <row r="97" spans="2:17" ht="20.100000000000001" customHeight="1">
      <c r="B97" s="945"/>
      <c r="C97" s="873"/>
      <c r="D97" s="873"/>
      <c r="E97" s="946"/>
      <c r="F97" s="947"/>
      <c r="G97" s="948"/>
      <c r="H97" s="948"/>
      <c r="I97" s="948"/>
      <c r="J97" s="948"/>
      <c r="K97" s="948"/>
      <c r="L97" s="949"/>
      <c r="M97" s="58"/>
      <c r="N97" s="58"/>
      <c r="O97" s="58"/>
      <c r="P97" s="58"/>
      <c r="Q97" s="58"/>
    </row>
    <row r="98" spans="2:17" ht="20.100000000000001" customHeight="1">
      <c r="B98" s="945" t="s">
        <v>1479</v>
      </c>
      <c r="C98" s="873"/>
      <c r="D98" s="873"/>
      <c r="E98" s="828"/>
      <c r="F98" s="1629" t="s">
        <v>75</v>
      </c>
      <c r="G98" s="1629" t="s">
        <v>95</v>
      </c>
      <c r="H98" s="1629" t="s">
        <v>98</v>
      </c>
      <c r="I98" s="1629" t="s">
        <v>99</v>
      </c>
      <c r="J98" s="1629" t="s">
        <v>101</v>
      </c>
      <c r="K98" s="951" t="s">
        <v>1480</v>
      </c>
      <c r="L98" s="952" t="s">
        <v>1481</v>
      </c>
      <c r="M98" s="58"/>
      <c r="N98" s="58"/>
      <c r="O98" s="58"/>
      <c r="P98" s="58"/>
      <c r="Q98" s="58"/>
    </row>
    <row r="99" spans="2:17" ht="20.100000000000001" customHeight="1">
      <c r="B99" s="945"/>
      <c r="C99" s="873"/>
      <c r="D99" s="873"/>
      <c r="E99" s="873"/>
      <c r="F99" s="950"/>
      <c r="G99" s="950"/>
      <c r="H99" s="950"/>
      <c r="I99" s="950"/>
      <c r="J99" s="950"/>
      <c r="K99" s="1630"/>
      <c r="L99" s="1631"/>
      <c r="M99" s="58"/>
      <c r="N99" s="58"/>
      <c r="O99" s="58"/>
      <c r="P99" s="58"/>
      <c r="Q99" s="58"/>
    </row>
    <row r="100" spans="2:17" ht="20.100000000000001" customHeight="1">
      <c r="B100" s="1632" t="s">
        <v>6</v>
      </c>
      <c r="C100" s="1629" t="s">
        <v>103</v>
      </c>
      <c r="D100" s="1629" t="s">
        <v>104</v>
      </c>
      <c r="E100" s="1629" t="s">
        <v>106</v>
      </c>
      <c r="F100" s="1629" t="s">
        <v>108</v>
      </c>
      <c r="G100" s="1629" t="s">
        <v>110</v>
      </c>
      <c r="H100" s="1629" t="s">
        <v>111</v>
      </c>
      <c r="I100" s="1629" t="s">
        <v>113</v>
      </c>
      <c r="J100" s="1629" t="s">
        <v>115</v>
      </c>
      <c r="K100" s="951" t="s">
        <v>1483</v>
      </c>
      <c r="L100" s="952" t="s">
        <v>1484</v>
      </c>
      <c r="M100" s="58"/>
      <c r="N100" s="58"/>
      <c r="O100" s="58"/>
      <c r="P100" s="58"/>
      <c r="Q100" s="58"/>
    </row>
    <row r="101" spans="2:17" ht="20.100000000000001" customHeight="1">
      <c r="B101" s="953"/>
      <c r="C101" s="950"/>
      <c r="D101" s="950"/>
      <c r="E101" s="950"/>
      <c r="F101" s="950"/>
      <c r="G101" s="950"/>
      <c r="H101" s="950"/>
      <c r="I101" s="950"/>
      <c r="J101" s="950"/>
      <c r="K101" s="1630"/>
      <c r="L101" s="1631"/>
      <c r="M101" s="58"/>
      <c r="N101" s="58"/>
      <c r="O101" s="58"/>
      <c r="P101" s="58"/>
      <c r="Q101" s="58"/>
    </row>
    <row r="102" spans="2:17" ht="20.100000000000001" customHeight="1">
      <c r="B102" s="954"/>
      <c r="C102" s="874"/>
      <c r="D102" s="955" t="s">
        <v>2334</v>
      </c>
      <c r="E102" s="956">
        <f>COLUMN()</f>
        <v>5</v>
      </c>
      <c r="F102" s="874"/>
      <c r="G102" s="955" t="s">
        <v>796</v>
      </c>
      <c r="H102" s="748" t="str">
        <f>ADDRESS(ROW(),COLUMN(),4)</f>
        <v>H102</v>
      </c>
      <c r="I102" s="874"/>
      <c r="J102" s="874"/>
      <c r="K102" s="957" t="s">
        <v>1487</v>
      </c>
      <c r="L102" s="952" t="s">
        <v>1488</v>
      </c>
      <c r="M102" s="58"/>
      <c r="N102" s="58"/>
      <c r="O102" s="58"/>
      <c r="P102" s="58"/>
      <c r="Q102" s="58"/>
    </row>
    <row r="103" spans="2:17" ht="20.100000000000001" customHeight="1">
      <c r="B103" s="954"/>
      <c r="C103" s="874"/>
      <c r="D103" s="955"/>
      <c r="E103" s="1633"/>
      <c r="F103" s="874"/>
      <c r="G103" s="874"/>
      <c r="H103" s="874"/>
      <c r="I103" s="874"/>
      <c r="J103" s="874"/>
      <c r="K103" s="1634"/>
      <c r="L103" s="1631"/>
      <c r="M103" s="58"/>
      <c r="N103" s="58"/>
      <c r="O103" s="58"/>
      <c r="P103" s="58"/>
      <c r="Q103" s="58"/>
    </row>
    <row r="104" spans="2:17" ht="20.100000000000001" customHeight="1">
      <c r="B104" s="954"/>
      <c r="C104" s="874"/>
      <c r="D104" s="955" t="s">
        <v>1490</v>
      </c>
      <c r="E104" s="2037" t="str">
        <f>LEFT(ADDRESS(1,COLUMN(),4),LEN(ADDRESS(1,COLUMN(),4))-1)</f>
        <v>E</v>
      </c>
      <c r="F104" s="874"/>
      <c r="G104" s="955" t="s">
        <v>797</v>
      </c>
      <c r="H104" s="750">
        <f>ROW()</f>
        <v>104</v>
      </c>
      <c r="I104" s="874"/>
      <c r="J104" s="958" t="s">
        <v>1465</v>
      </c>
      <c r="K104" s="874"/>
      <c r="L104" s="959"/>
      <c r="M104" s="58"/>
      <c r="N104" s="58"/>
      <c r="O104" s="58"/>
      <c r="P104" s="58"/>
      <c r="Q104" s="58"/>
    </row>
    <row r="105" spans="2:17" ht="20.100000000000001" customHeight="1">
      <c r="B105" s="954"/>
      <c r="C105" s="874"/>
      <c r="D105" s="955"/>
      <c r="E105" s="955"/>
      <c r="F105" s="955"/>
      <c r="G105" s="955"/>
      <c r="H105" s="955"/>
      <c r="I105" s="955"/>
      <c r="J105" s="958"/>
      <c r="K105" s="874"/>
      <c r="L105" s="959"/>
      <c r="M105" s="58"/>
      <c r="N105" s="58"/>
      <c r="O105" s="58"/>
      <c r="P105" s="58"/>
      <c r="Q105" s="58"/>
    </row>
    <row r="106" spans="2:17" ht="20.100000000000001" customHeight="1">
      <c r="B106" s="954"/>
      <c r="C106" s="749" t="s">
        <v>7</v>
      </c>
      <c r="D106" s="770" t="str">
        <f ca="1">CELL("nomfichier")</f>
        <v>F:\Bureau\pour UPRT 5 decembre\[re-boudins-blancs.xlsx]CONTENU</v>
      </c>
      <c r="E106" s="57"/>
      <c r="F106" s="955"/>
      <c r="G106" s="955"/>
      <c r="H106" s="955"/>
      <c r="I106" s="955"/>
      <c r="J106" s="958"/>
      <c r="K106" s="874"/>
      <c r="L106" s="959"/>
      <c r="M106" s="58"/>
      <c r="N106" s="58"/>
      <c r="O106" s="58"/>
      <c r="P106" s="58"/>
      <c r="Q106" s="58"/>
    </row>
    <row r="107" spans="2:17" ht="20.100000000000001" customHeight="1" thickBot="1">
      <c r="B107" s="960"/>
      <c r="C107" s="961"/>
      <c r="D107" s="961"/>
      <c r="E107" s="961"/>
      <c r="F107" s="961"/>
      <c r="G107" s="961"/>
      <c r="H107" s="961"/>
      <c r="I107" s="961"/>
      <c r="J107" s="961"/>
      <c r="K107" s="961"/>
      <c r="L107" s="962"/>
      <c r="M107" s="58"/>
      <c r="N107" s="58"/>
      <c r="O107" s="58"/>
      <c r="P107" s="58"/>
      <c r="Q107" s="58"/>
    </row>
    <row r="108" spans="2:17" ht="15" customHeight="1" thickBot="1">
      <c r="B108" s="54"/>
      <c r="C108" s="54"/>
      <c r="D108" s="54"/>
      <c r="E108" s="1029"/>
      <c r="F108" s="1029"/>
      <c r="G108" s="54"/>
      <c r="H108" s="54"/>
      <c r="I108" s="54"/>
      <c r="J108" s="54"/>
      <c r="K108" s="54"/>
      <c r="L108" s="58"/>
      <c r="M108" s="58"/>
      <c r="N108" s="58"/>
      <c r="O108" s="58"/>
      <c r="P108" s="58"/>
      <c r="Q108" s="58"/>
    </row>
    <row r="109" spans="2:17" ht="24.95" customHeight="1">
      <c r="B109" s="1635" t="s">
        <v>351</v>
      </c>
      <c r="C109" s="3264" t="s">
        <v>1459</v>
      </c>
      <c r="D109" s="3264"/>
      <c r="E109" s="3264"/>
      <c r="F109" s="3264"/>
      <c r="G109" s="3264"/>
      <c r="H109" s="3264"/>
      <c r="I109" s="3264"/>
      <c r="J109" s="3264"/>
      <c r="K109" s="3265"/>
      <c r="L109" s="58"/>
      <c r="M109" s="58"/>
      <c r="N109" s="58"/>
      <c r="O109" s="58"/>
      <c r="P109" s="58"/>
      <c r="Q109" s="58"/>
    </row>
    <row r="110" spans="2:17" ht="24.95" customHeight="1">
      <c r="B110" s="1636" t="s">
        <v>353</v>
      </c>
      <c r="C110" s="3266" t="s">
        <v>1463</v>
      </c>
      <c r="D110" s="3266"/>
      <c r="E110" s="3266"/>
      <c r="F110" s="3266"/>
      <c r="G110" s="3266"/>
      <c r="H110" s="3266"/>
      <c r="I110" s="3266"/>
      <c r="J110" s="3266"/>
      <c r="K110" s="3267"/>
      <c r="L110" s="58"/>
      <c r="M110" s="58"/>
      <c r="N110" s="58"/>
      <c r="O110" s="58"/>
      <c r="P110" s="58"/>
      <c r="Q110" s="58"/>
    </row>
    <row r="111" spans="2:17" ht="24.95" customHeight="1">
      <c r="B111" s="1637" t="s">
        <v>352</v>
      </c>
      <c r="C111" s="3268" t="s">
        <v>1466</v>
      </c>
      <c r="D111" s="3268"/>
      <c r="E111" s="3268"/>
      <c r="F111" s="3268"/>
      <c r="G111" s="3268"/>
      <c r="H111" s="3268"/>
      <c r="I111" s="3268"/>
      <c r="J111" s="3268"/>
      <c r="K111" s="3269"/>
      <c r="L111" s="58"/>
      <c r="M111" s="58"/>
      <c r="N111" s="58"/>
      <c r="O111" s="58"/>
      <c r="P111" s="58"/>
      <c r="Q111" s="58"/>
    </row>
    <row r="112" spans="2:17" ht="24.95" customHeight="1">
      <c r="B112" s="1638"/>
      <c r="C112" s="3270" t="s">
        <v>1469</v>
      </c>
      <c r="D112" s="3270"/>
      <c r="E112" s="3270"/>
      <c r="F112" s="3270"/>
      <c r="G112" s="3270"/>
      <c r="H112" s="3270"/>
      <c r="I112" s="3270"/>
      <c r="J112" s="3270"/>
      <c r="K112" s="3271"/>
      <c r="L112" s="58"/>
      <c r="M112" s="58"/>
      <c r="N112" s="58"/>
      <c r="O112" s="58"/>
      <c r="P112" s="58"/>
      <c r="Q112" s="58"/>
    </row>
    <row r="113" spans="2:17" ht="24.95" customHeight="1">
      <c r="B113" s="3272" t="s">
        <v>352</v>
      </c>
      <c r="C113" s="3273" t="str">
        <f>C111</f>
        <v>Saisir ICI</v>
      </c>
      <c r="D113" s="3273"/>
      <c r="E113" s="3273"/>
      <c r="F113" s="3273"/>
      <c r="G113" s="3273"/>
      <c r="H113" s="3273"/>
      <c r="I113" s="3273"/>
      <c r="J113" s="3273"/>
      <c r="K113" s="3274"/>
      <c r="L113" s="58"/>
      <c r="M113" s="58"/>
      <c r="N113" s="58"/>
      <c r="O113" s="58"/>
      <c r="P113" s="58"/>
      <c r="Q113" s="58"/>
    </row>
    <row r="114" spans="2:17" ht="24.95" customHeight="1">
      <c r="B114" s="3272"/>
      <c r="C114" s="3273"/>
      <c r="D114" s="3273"/>
      <c r="E114" s="3273"/>
      <c r="F114" s="3273"/>
      <c r="G114" s="3273"/>
      <c r="H114" s="3273"/>
      <c r="I114" s="3273"/>
      <c r="J114" s="3273"/>
      <c r="K114" s="3274"/>
      <c r="L114" s="58"/>
      <c r="M114" s="58"/>
      <c r="N114" s="58"/>
      <c r="O114" s="58"/>
      <c r="P114" s="58"/>
      <c r="Q114" s="58"/>
    </row>
    <row r="115" spans="2:17" ht="24.95" customHeight="1">
      <c r="B115" s="3272"/>
      <c r="C115" s="3273"/>
      <c r="D115" s="3273"/>
      <c r="E115" s="3273"/>
      <c r="F115" s="3273"/>
      <c r="G115" s="3273"/>
      <c r="H115" s="3273"/>
      <c r="I115" s="3273"/>
      <c r="J115" s="3273"/>
      <c r="K115" s="3274"/>
      <c r="L115" s="58"/>
      <c r="M115" s="58"/>
      <c r="N115" s="58"/>
      <c r="O115" s="58"/>
      <c r="P115" s="58"/>
      <c r="Q115" s="58"/>
    </row>
    <row r="116" spans="2:17" ht="24.95" customHeight="1">
      <c r="B116" s="3250" t="s">
        <v>351</v>
      </c>
      <c r="C116" s="3253" t="str">
        <f>+C109</f>
        <v>TEST POLICE DE CARACTERES</v>
      </c>
      <c r="D116" s="3253"/>
      <c r="E116" s="3253"/>
      <c r="F116" s="3253"/>
      <c r="G116" s="3253"/>
      <c r="H116" s="3253"/>
      <c r="I116" s="3253"/>
      <c r="J116" s="3253"/>
      <c r="K116" s="3254"/>
      <c r="L116" s="58"/>
      <c r="M116" s="58"/>
      <c r="N116" s="58"/>
      <c r="O116" s="58"/>
      <c r="P116" s="58"/>
      <c r="Q116" s="58"/>
    </row>
    <row r="117" spans="2:17" ht="24.95" customHeight="1">
      <c r="B117" s="3251"/>
      <c r="C117" s="3255"/>
      <c r="D117" s="3255"/>
      <c r="E117" s="3255"/>
      <c r="F117" s="3255"/>
      <c r="G117" s="3255"/>
      <c r="H117" s="3255"/>
      <c r="I117" s="3255"/>
      <c r="J117" s="3255"/>
      <c r="K117" s="3256"/>
      <c r="L117" s="58"/>
      <c r="M117" s="58"/>
      <c r="N117" s="58"/>
      <c r="O117" s="58"/>
      <c r="P117" s="58"/>
      <c r="Q117" s="58"/>
    </row>
    <row r="118" spans="2:17" ht="24.95" customHeight="1">
      <c r="B118" s="3252"/>
      <c r="C118" s="3257"/>
      <c r="D118" s="3257"/>
      <c r="E118" s="3257"/>
      <c r="F118" s="3257"/>
      <c r="G118" s="3257"/>
      <c r="H118" s="3257"/>
      <c r="I118" s="3257"/>
      <c r="J118" s="3257"/>
      <c r="K118" s="3258"/>
      <c r="L118" s="58"/>
      <c r="M118" s="58"/>
      <c r="N118" s="58"/>
      <c r="O118" s="58"/>
      <c r="P118" s="58"/>
      <c r="Q118" s="58"/>
    </row>
    <row r="119" spans="2:17" ht="24.95" customHeight="1">
      <c r="B119" s="3251" t="s">
        <v>353</v>
      </c>
      <c r="C119" s="3260" t="str">
        <f>+C110</f>
        <v>Saisir une ou des lettres / nombres ou une phrase cellule C jaune</v>
      </c>
      <c r="D119" s="3260"/>
      <c r="E119" s="3260"/>
      <c r="F119" s="3260"/>
      <c r="G119" s="3260"/>
      <c r="H119" s="3260"/>
      <c r="I119" s="3260"/>
      <c r="J119" s="3260"/>
      <c r="K119" s="3261"/>
      <c r="L119" s="58"/>
      <c r="M119" s="58"/>
      <c r="N119" s="58"/>
      <c r="O119" s="58"/>
      <c r="P119" s="58"/>
      <c r="Q119" s="58"/>
    </row>
    <row r="120" spans="2:17" ht="24.95" customHeight="1">
      <c r="B120" s="3251"/>
      <c r="C120" s="3260"/>
      <c r="D120" s="3260"/>
      <c r="E120" s="3260"/>
      <c r="F120" s="3260"/>
      <c r="G120" s="3260"/>
      <c r="H120" s="3260"/>
      <c r="I120" s="3260"/>
      <c r="J120" s="3260"/>
      <c r="K120" s="3261"/>
      <c r="L120" s="58"/>
      <c r="M120" s="58"/>
      <c r="N120" s="58"/>
      <c r="O120" s="58"/>
      <c r="P120" s="58"/>
      <c r="Q120" s="58"/>
    </row>
    <row r="121" spans="2:17" ht="24.95" customHeight="1">
      <c r="B121" s="3251"/>
      <c r="C121" s="3260"/>
      <c r="D121" s="3260"/>
      <c r="E121" s="3260"/>
      <c r="F121" s="3260"/>
      <c r="G121" s="3260"/>
      <c r="H121" s="3260"/>
      <c r="I121" s="3260"/>
      <c r="J121" s="3260"/>
      <c r="K121" s="3261"/>
      <c r="L121" s="58"/>
      <c r="M121" s="58"/>
      <c r="N121" s="58"/>
      <c r="O121" s="58"/>
      <c r="P121" s="58"/>
      <c r="Q121" s="58"/>
    </row>
    <row r="122" spans="2:17" ht="24.95" customHeight="1">
      <c r="B122" s="3251"/>
      <c r="C122" s="3260"/>
      <c r="D122" s="3260"/>
      <c r="E122" s="3260"/>
      <c r="F122" s="3260"/>
      <c r="G122" s="3260"/>
      <c r="H122" s="3260"/>
      <c r="I122" s="3260"/>
      <c r="J122" s="3260"/>
      <c r="K122" s="3261"/>
      <c r="L122" s="58"/>
      <c r="M122" s="58"/>
      <c r="N122" s="58"/>
      <c r="O122" s="58"/>
      <c r="P122" s="58"/>
      <c r="Q122" s="58"/>
    </row>
    <row r="123" spans="2:17" ht="24.95" customHeight="1" thickBot="1">
      <c r="B123" s="3259"/>
      <c r="C123" s="3262"/>
      <c r="D123" s="3262"/>
      <c r="E123" s="3262"/>
      <c r="F123" s="3262"/>
      <c r="G123" s="3262"/>
      <c r="H123" s="3262"/>
      <c r="I123" s="3262"/>
      <c r="J123" s="3262"/>
      <c r="K123" s="3263"/>
      <c r="L123" s="58"/>
      <c r="M123" s="58"/>
      <c r="N123" s="58"/>
      <c r="O123" s="58"/>
      <c r="P123" s="58"/>
      <c r="Q123" s="58"/>
    </row>
    <row r="124" spans="2:17" ht="15" customHeight="1">
      <c r="B124" s="58"/>
      <c r="C124" s="58"/>
      <c r="D124" s="58"/>
      <c r="E124" s="58"/>
      <c r="F124" s="58"/>
      <c r="G124" s="58"/>
      <c r="H124" s="58"/>
      <c r="I124" s="58"/>
      <c r="J124" s="58"/>
      <c r="K124" s="58"/>
      <c r="L124" s="58"/>
      <c r="M124" s="58"/>
      <c r="N124" s="58"/>
      <c r="O124" s="58"/>
      <c r="P124" s="58"/>
      <c r="Q124" s="58"/>
    </row>
    <row r="125" spans="2:17" ht="15" customHeight="1">
      <c r="B125" s="54"/>
      <c r="C125" s="54"/>
      <c r="D125" s="54"/>
      <c r="E125" s="1029"/>
      <c r="F125" s="1029"/>
      <c r="G125" s="54"/>
      <c r="H125" s="54"/>
      <c r="I125" s="54"/>
      <c r="J125" s="54"/>
      <c r="K125" s="54"/>
      <c r="L125" s="58"/>
      <c r="M125" s="58"/>
      <c r="N125" s="58"/>
      <c r="O125" s="58"/>
      <c r="P125" s="58"/>
      <c r="Q125" s="58"/>
    </row>
    <row r="126" spans="2:17" ht="20.100000000000001" customHeight="1">
      <c r="B126" s="54"/>
      <c r="C126" s="1639" t="s">
        <v>1781</v>
      </c>
      <c r="D126" s="1640"/>
      <c r="E126" s="1640"/>
      <c r="F126" s="1640"/>
      <c r="G126" s="54"/>
      <c r="H126" s="54"/>
      <c r="I126" s="54"/>
      <c r="J126" s="54"/>
      <c r="K126" s="54"/>
      <c r="L126" s="58"/>
      <c r="M126" s="58"/>
      <c r="N126" s="58"/>
      <c r="O126" s="58"/>
      <c r="P126" s="58"/>
      <c r="Q126" s="58"/>
    </row>
    <row r="127" spans="2:17" ht="20.100000000000001" customHeight="1">
      <c r="B127" s="1641" t="s">
        <v>1778</v>
      </c>
      <c r="C127" s="2357" t="s">
        <v>1782</v>
      </c>
      <c r="D127" s="2357"/>
      <c r="E127" s="2357"/>
      <c r="F127" s="2357"/>
      <c r="G127" s="2357"/>
      <c r="H127" s="2357"/>
      <c r="I127" s="54"/>
      <c r="J127" s="54"/>
      <c r="K127" s="54"/>
      <c r="L127" s="58"/>
      <c r="M127" s="58"/>
      <c r="N127" s="58"/>
      <c r="O127" s="58"/>
      <c r="P127" s="58"/>
      <c r="Q127" s="58"/>
    </row>
    <row r="128" spans="2:17" ht="20.100000000000001" customHeight="1">
      <c r="B128" s="54"/>
      <c r="C128" s="1639"/>
      <c r="D128" s="1640"/>
      <c r="E128" s="1640"/>
      <c r="F128" s="1640"/>
      <c r="G128" s="54"/>
      <c r="H128" s="54"/>
      <c r="I128" s="54"/>
      <c r="J128" s="54"/>
      <c r="K128" s="54"/>
      <c r="L128" s="58"/>
      <c r="M128" s="58"/>
      <c r="N128" s="58"/>
      <c r="O128" s="58"/>
      <c r="P128" s="58"/>
      <c r="Q128" s="58"/>
    </row>
    <row r="129" spans="2:17" ht="20.100000000000001" customHeight="1">
      <c r="B129" s="1641" t="s">
        <v>1778</v>
      </c>
      <c r="C129" s="2357" t="s">
        <v>1783</v>
      </c>
      <c r="D129" s="3245"/>
      <c r="E129" s="3245"/>
      <c r="F129" s="3245"/>
      <c r="G129" s="54"/>
      <c r="H129" s="54"/>
      <c r="I129" s="54"/>
      <c r="J129" s="54"/>
      <c r="K129" s="54"/>
      <c r="L129" s="58"/>
      <c r="M129" s="58"/>
      <c r="N129" s="58"/>
      <c r="O129" s="58"/>
      <c r="P129" s="58"/>
      <c r="Q129" s="58"/>
    </row>
    <row r="130" spans="2:17" ht="20.100000000000001" customHeight="1">
      <c r="B130" s="54"/>
      <c r="C130" s="1640"/>
      <c r="D130" s="1640"/>
      <c r="E130" s="1640"/>
      <c r="F130" s="1640"/>
      <c r="G130" s="54"/>
      <c r="H130" s="54"/>
      <c r="I130" s="54"/>
      <c r="J130" s="54"/>
      <c r="K130" s="54"/>
      <c r="L130" s="58"/>
      <c r="M130" s="58"/>
      <c r="N130" s="58"/>
      <c r="O130" s="58"/>
      <c r="P130" s="58"/>
      <c r="Q130" s="58"/>
    </row>
    <row r="131" spans="2:17" ht="20.100000000000001" customHeight="1">
      <c r="B131" s="1641" t="s">
        <v>1778</v>
      </c>
      <c r="C131" s="3249" t="s">
        <v>1784</v>
      </c>
      <c r="D131" s="3249"/>
      <c r="E131" s="3249"/>
      <c r="F131" s="3249"/>
      <c r="G131" s="54"/>
      <c r="H131" s="54"/>
      <c r="I131" s="54"/>
      <c r="J131" s="54"/>
      <c r="K131" s="54"/>
      <c r="L131" s="58"/>
      <c r="M131" s="58"/>
      <c r="N131" s="58"/>
      <c r="O131" s="58"/>
      <c r="P131" s="58"/>
      <c r="Q131" s="58"/>
    </row>
    <row r="132" spans="2:17" ht="20.100000000000001" customHeight="1">
      <c r="B132" s="54"/>
      <c r="C132" s="1640"/>
      <c r="D132" s="1640"/>
      <c r="E132" s="1640"/>
      <c r="F132" s="1640"/>
      <c r="G132" s="54"/>
      <c r="H132" s="54"/>
      <c r="I132" s="54"/>
      <c r="J132" s="54"/>
      <c r="K132" s="54"/>
      <c r="L132" s="58"/>
      <c r="M132" s="58"/>
      <c r="N132" s="58"/>
      <c r="O132" s="58"/>
      <c r="P132" s="58"/>
      <c r="Q132" s="58"/>
    </row>
    <row r="133" spans="2:17" ht="20.100000000000001" customHeight="1">
      <c r="B133" s="54"/>
      <c r="C133" s="1642" t="s">
        <v>1506</v>
      </c>
      <c r="D133" s="1640"/>
      <c r="E133" s="1640"/>
      <c r="F133" s="1643"/>
      <c r="G133" s="54"/>
      <c r="H133" s="54"/>
      <c r="I133" s="54"/>
      <c r="J133" s="54"/>
      <c r="K133" s="54"/>
      <c r="L133" s="58"/>
      <c r="M133" s="58"/>
      <c r="N133" s="58"/>
      <c r="O133" s="58"/>
      <c r="P133" s="58"/>
      <c r="Q133" s="58"/>
    </row>
    <row r="134" spans="2:17" ht="20.100000000000001" customHeight="1">
      <c r="B134" s="1641" t="s">
        <v>1778</v>
      </c>
      <c r="C134" s="3246" t="s">
        <v>1509</v>
      </c>
      <c r="D134" s="3246"/>
      <c r="E134" s="3246"/>
      <c r="F134" s="3246"/>
      <c r="G134" s="3246"/>
      <c r="H134" s="3246"/>
      <c r="I134" s="3246"/>
      <c r="J134" s="54"/>
      <c r="K134" s="54"/>
      <c r="L134" s="58"/>
      <c r="M134" s="58"/>
      <c r="N134" s="58"/>
      <c r="O134" s="58"/>
      <c r="P134" s="58"/>
      <c r="Q134" s="58"/>
    </row>
    <row r="135" spans="2:17" ht="20.100000000000001" customHeight="1">
      <c r="B135" s="2045"/>
      <c r="C135" s="2045"/>
      <c r="D135" s="2045"/>
      <c r="E135" s="2045"/>
      <c r="F135" s="2045"/>
      <c r="G135" s="2045"/>
      <c r="H135" s="2045"/>
      <c r="I135" s="2045"/>
      <c r="J135" s="54"/>
      <c r="K135" s="54"/>
      <c r="L135" s="58"/>
      <c r="M135" s="58"/>
      <c r="N135" s="58"/>
      <c r="O135" s="58"/>
      <c r="P135" s="58"/>
      <c r="Q135" s="58"/>
    </row>
    <row r="136" spans="2:17" ht="20.100000000000001" customHeight="1">
      <c r="B136" s="1641" t="s">
        <v>1778</v>
      </c>
      <c r="C136" s="3246" t="s">
        <v>1511</v>
      </c>
      <c r="D136" s="3246"/>
      <c r="E136" s="1640"/>
      <c r="F136" s="1640"/>
      <c r="G136" s="54"/>
      <c r="H136" s="54"/>
      <c r="I136" s="54"/>
      <c r="J136" s="54"/>
      <c r="K136" s="54"/>
      <c r="L136" s="58"/>
      <c r="M136" s="58"/>
      <c r="N136" s="58"/>
      <c r="O136" s="58"/>
      <c r="P136" s="58"/>
      <c r="Q136" s="58"/>
    </row>
    <row r="137" spans="2:17" ht="20.100000000000001" customHeight="1">
      <c r="B137" s="54"/>
      <c r="C137" s="1640"/>
      <c r="D137" s="1640"/>
      <c r="E137" s="1640"/>
      <c r="F137" s="1643"/>
      <c r="G137" s="54"/>
      <c r="H137" s="54"/>
      <c r="I137" s="54"/>
      <c r="J137" s="54"/>
      <c r="K137" s="54"/>
      <c r="L137" s="58"/>
      <c r="M137" s="58"/>
      <c r="N137" s="58"/>
      <c r="O137" s="58"/>
      <c r="P137" s="58"/>
      <c r="Q137" s="58"/>
    </row>
    <row r="138" spans="2:17" ht="20.100000000000001" customHeight="1">
      <c r="B138" s="54"/>
      <c r="C138" s="1642" t="s">
        <v>1518</v>
      </c>
      <c r="D138" s="1640"/>
      <c r="E138" s="1640"/>
      <c r="F138" s="1640"/>
      <c r="G138" s="54"/>
      <c r="H138" s="54"/>
      <c r="I138" s="54"/>
      <c r="J138" s="54"/>
      <c r="K138" s="54"/>
      <c r="L138" s="58"/>
      <c r="M138" s="58"/>
      <c r="N138" s="58"/>
      <c r="O138" s="58"/>
      <c r="P138" s="58"/>
      <c r="Q138" s="58"/>
    </row>
    <row r="139" spans="2:17" ht="20.100000000000001" customHeight="1">
      <c r="B139" s="1641" t="s">
        <v>1778</v>
      </c>
      <c r="C139" s="3246" t="s">
        <v>1523</v>
      </c>
      <c r="D139" s="3246"/>
      <c r="E139" s="3246"/>
      <c r="F139" s="3246"/>
      <c r="G139" s="54"/>
      <c r="H139" s="54"/>
      <c r="I139" s="54"/>
      <c r="J139" s="54"/>
      <c r="K139" s="54"/>
      <c r="L139" s="58"/>
      <c r="M139" s="58"/>
      <c r="N139" s="58"/>
      <c r="O139" s="58"/>
      <c r="P139" s="58"/>
      <c r="Q139" s="58"/>
    </row>
    <row r="140" spans="2:17" ht="20.100000000000001" customHeight="1">
      <c r="B140" s="54"/>
      <c r="C140" s="1640"/>
      <c r="D140" s="1640"/>
      <c r="E140" s="1640"/>
      <c r="F140" s="1640"/>
      <c r="G140" s="54"/>
      <c r="H140" s="54"/>
      <c r="I140" s="54"/>
      <c r="J140" s="54"/>
      <c r="K140" s="54"/>
      <c r="L140" s="58"/>
      <c r="M140" s="58"/>
      <c r="N140" s="58"/>
      <c r="O140" s="58"/>
      <c r="P140" s="58"/>
      <c r="Q140" s="58"/>
    </row>
    <row r="141" spans="2:17" ht="20.100000000000001" customHeight="1">
      <c r="B141" s="54"/>
      <c r="C141" s="1642" t="s">
        <v>1530</v>
      </c>
      <c r="D141" s="1640"/>
      <c r="E141" s="1640"/>
      <c r="F141" s="1640"/>
      <c r="G141" s="54"/>
      <c r="H141" s="54"/>
      <c r="I141" s="54"/>
      <c r="J141" s="54"/>
      <c r="K141" s="54"/>
      <c r="L141" s="58"/>
      <c r="M141" s="58"/>
      <c r="N141" s="58"/>
      <c r="O141" s="58"/>
      <c r="P141" s="58"/>
      <c r="Q141" s="58"/>
    </row>
    <row r="142" spans="2:17" ht="20.100000000000001" customHeight="1">
      <c r="B142" s="1641" t="s">
        <v>1778</v>
      </c>
      <c r="C142" s="3246" t="s">
        <v>1535</v>
      </c>
      <c r="D142" s="3246"/>
      <c r="E142" s="3246"/>
      <c r="F142" s="3246"/>
      <c r="G142" s="54"/>
      <c r="H142" s="54"/>
      <c r="I142" s="54"/>
      <c r="J142" s="54"/>
      <c r="K142" s="54"/>
      <c r="L142" s="58"/>
      <c r="M142" s="58"/>
      <c r="N142" s="58"/>
      <c r="O142" s="58"/>
      <c r="P142" s="58"/>
      <c r="Q142" s="58"/>
    </row>
    <row r="143" spans="2:17" ht="20.100000000000001" customHeight="1">
      <c r="B143" s="54"/>
      <c r="C143" s="1640"/>
      <c r="D143" s="1640"/>
      <c r="E143" s="1640"/>
      <c r="F143" s="1640"/>
      <c r="G143" s="54"/>
      <c r="H143" s="54"/>
      <c r="I143" s="54"/>
      <c r="J143" s="54"/>
      <c r="K143" s="54"/>
      <c r="L143" s="58"/>
      <c r="M143" s="58"/>
      <c r="N143" s="58"/>
      <c r="O143" s="58"/>
      <c r="P143" s="58"/>
      <c r="Q143" s="58"/>
    </row>
    <row r="144" spans="2:17" ht="20.100000000000001" customHeight="1">
      <c r="B144" s="54"/>
      <c r="C144" s="1642" t="s">
        <v>1543</v>
      </c>
      <c r="D144" s="1640"/>
      <c r="E144" s="1640"/>
      <c r="F144" s="1640"/>
      <c r="G144" s="54"/>
      <c r="H144" s="54"/>
      <c r="I144" s="54"/>
      <c r="J144" s="54"/>
      <c r="K144" s="54"/>
      <c r="L144" s="58"/>
      <c r="M144" s="58"/>
      <c r="N144" s="58"/>
      <c r="O144" s="58"/>
      <c r="P144" s="58"/>
      <c r="Q144" s="58"/>
    </row>
    <row r="145" spans="1:17" ht="20.100000000000001" customHeight="1">
      <c r="B145" s="1641" t="s">
        <v>1778</v>
      </c>
      <c r="C145" s="3246" t="s">
        <v>1546</v>
      </c>
      <c r="D145" s="3246"/>
      <c r="E145" s="1640"/>
      <c r="F145" s="1640"/>
      <c r="G145" s="54"/>
      <c r="H145" s="54"/>
      <c r="I145" s="54"/>
      <c r="J145" s="54"/>
      <c r="K145" s="54"/>
      <c r="L145" s="58"/>
      <c r="M145" s="58"/>
      <c r="N145" s="58"/>
      <c r="O145" s="58"/>
      <c r="P145" s="58"/>
      <c r="Q145" s="58"/>
    </row>
    <row r="146" spans="1:17" ht="20.100000000000001" customHeight="1">
      <c r="B146" s="2045"/>
      <c r="C146" s="2045"/>
      <c r="D146" s="2045"/>
      <c r="E146" s="1640"/>
      <c r="F146" s="1640"/>
      <c r="G146" s="54"/>
      <c r="H146" s="54"/>
      <c r="I146" s="54"/>
      <c r="J146" s="54"/>
      <c r="K146" s="54"/>
      <c r="L146" s="58"/>
      <c r="M146" s="58"/>
      <c r="N146" s="58"/>
      <c r="O146" s="58"/>
      <c r="P146" s="58"/>
      <c r="Q146" s="58"/>
    </row>
    <row r="147" spans="1:17" ht="20.100000000000001" customHeight="1">
      <c r="B147" s="1644" t="s">
        <v>1778</v>
      </c>
      <c r="C147" s="2357" t="s">
        <v>1547</v>
      </c>
      <c r="D147" s="3245"/>
      <c r="E147" s="3245"/>
      <c r="F147" s="3245"/>
      <c r="G147" s="54"/>
      <c r="H147" s="54"/>
      <c r="I147" s="54"/>
      <c r="J147" s="54"/>
      <c r="K147" s="54"/>
      <c r="L147" s="58"/>
      <c r="M147" s="58"/>
      <c r="N147" s="58"/>
      <c r="O147" s="58"/>
      <c r="P147" s="58"/>
      <c r="Q147" s="58"/>
    </row>
    <row r="148" spans="1:17" ht="20.100000000000001" customHeight="1">
      <c r="B148" s="54"/>
      <c r="C148" s="1640"/>
      <c r="D148" s="1645"/>
      <c r="E148" s="1640"/>
      <c r="F148" s="1646"/>
      <c r="G148" s="54"/>
      <c r="H148" s="54"/>
      <c r="I148" s="54"/>
      <c r="J148" s="54"/>
      <c r="K148" s="54"/>
      <c r="L148" s="58"/>
      <c r="M148" s="58"/>
      <c r="N148" s="58"/>
      <c r="O148" s="58"/>
      <c r="P148" s="58"/>
      <c r="Q148" s="58"/>
    </row>
    <row r="149" spans="1:17" ht="20.100000000000001" customHeight="1">
      <c r="B149" s="54"/>
      <c r="C149" s="1642" t="s">
        <v>1550</v>
      </c>
      <c r="D149" s="1645"/>
      <c r="E149" s="1640"/>
      <c r="F149" s="1646"/>
      <c r="G149" s="54"/>
      <c r="H149" s="54"/>
      <c r="I149" s="54"/>
      <c r="J149" s="54"/>
      <c r="K149" s="54"/>
      <c r="L149" s="58"/>
      <c r="M149" s="58"/>
      <c r="N149" s="58"/>
      <c r="O149" s="58"/>
      <c r="P149" s="58"/>
      <c r="Q149" s="58"/>
    </row>
    <row r="150" spans="1:17" ht="20.100000000000001" customHeight="1">
      <c r="B150" s="1641" t="s">
        <v>1778</v>
      </c>
      <c r="C150" s="3246" t="s">
        <v>1551</v>
      </c>
      <c r="D150" s="3246"/>
      <c r="E150" s="3246"/>
      <c r="F150" s="3246"/>
      <c r="G150" s="3246"/>
      <c r="H150" s="54"/>
      <c r="I150" s="54"/>
      <c r="J150" s="54"/>
      <c r="K150" s="54"/>
      <c r="L150" s="58"/>
      <c r="M150" s="58"/>
      <c r="N150" s="58"/>
      <c r="O150" s="58"/>
      <c r="P150" s="58"/>
      <c r="Q150" s="58"/>
    </row>
    <row r="151" spans="1:17" ht="20.100000000000001" customHeight="1">
      <c r="B151" s="54"/>
      <c r="C151" s="54"/>
      <c r="D151" s="54"/>
      <c r="E151" s="1029"/>
      <c r="F151" s="1029"/>
      <c r="G151" s="54"/>
      <c r="H151" s="54"/>
      <c r="I151" s="54"/>
      <c r="J151" s="54"/>
      <c r="K151" s="54"/>
      <c r="L151" s="58"/>
      <c r="M151" s="58"/>
      <c r="N151" s="58"/>
      <c r="O151" s="58"/>
      <c r="P151" s="58"/>
      <c r="Q151" s="58"/>
    </row>
    <row r="152" spans="1:17">
      <c r="A152" s="1647"/>
      <c r="B152" s="1648"/>
      <c r="C152" s="1649"/>
      <c r="D152" s="1649"/>
      <c r="E152" s="1649"/>
      <c r="F152" s="1649"/>
      <c r="G152" s="1649"/>
      <c r="H152" s="1649"/>
      <c r="I152" s="1649"/>
      <c r="J152" s="1648"/>
      <c r="K152" s="1648"/>
      <c r="L152" s="1648"/>
      <c r="M152" s="1647"/>
      <c r="N152" s="1647"/>
      <c r="O152" s="1647"/>
      <c r="P152" s="1647"/>
      <c r="Q152" s="1647"/>
    </row>
    <row r="153" spans="1:17" ht="18.75">
      <c r="A153" s="58"/>
      <c r="B153" s="751" t="s">
        <v>793</v>
      </c>
      <c r="C153" s="54"/>
      <c r="D153" s="54"/>
      <c r="E153" s="54"/>
      <c r="F153" s="2049"/>
      <c r="G153" s="2049"/>
      <c r="H153" s="57"/>
      <c r="I153" s="2047"/>
      <c r="J153" s="661"/>
      <c r="K153" s="661"/>
      <c r="L153" s="81"/>
      <c r="M153" s="2047"/>
      <c r="N153" s="2047"/>
      <c r="O153" s="58"/>
      <c r="P153" s="58"/>
      <c r="Q153" s="57"/>
    </row>
    <row r="154" spans="1:17" ht="18.75">
      <c r="A154" s="58"/>
      <c r="B154" s="751"/>
      <c r="C154" s="3247" t="s">
        <v>791</v>
      </c>
      <c r="D154" s="3247"/>
      <c r="E154" s="3247"/>
      <c r="F154" s="3247"/>
      <c r="G154" s="3247"/>
      <c r="H154" s="3247"/>
      <c r="I154" s="2047"/>
      <c r="J154" s="2047"/>
      <c r="K154" s="81"/>
      <c r="L154" s="81"/>
      <c r="M154" s="2047"/>
      <c r="N154" s="2047"/>
      <c r="O154" s="58"/>
      <c r="P154" s="58"/>
      <c r="Q154" s="57"/>
    </row>
    <row r="155" spans="1:17" ht="18.75">
      <c r="A155" s="58"/>
      <c r="B155" s="751"/>
      <c r="C155" s="768"/>
      <c r="D155" s="2049"/>
      <c r="E155" s="2049"/>
      <c r="F155" s="2049"/>
      <c r="G155" s="2049"/>
      <c r="H155" s="57"/>
      <c r="I155" s="2047"/>
      <c r="J155" s="2047"/>
      <c r="K155" s="81"/>
      <c r="L155" s="81"/>
      <c r="M155" s="2047"/>
      <c r="N155" s="2047"/>
      <c r="O155" s="58"/>
      <c r="P155" s="58"/>
      <c r="Q155" s="57"/>
    </row>
    <row r="156" spans="1:17" ht="18.75">
      <c r="A156" s="58"/>
      <c r="B156" s="769"/>
      <c r="C156" s="3248" t="s">
        <v>792</v>
      </c>
      <c r="D156" s="3248"/>
      <c r="E156" s="3248"/>
      <c r="F156" s="3248"/>
      <c r="G156" s="57"/>
      <c r="H156" s="57"/>
      <c r="I156" s="57"/>
      <c r="J156" s="57"/>
      <c r="K156" s="57"/>
      <c r="L156" s="81"/>
      <c r="M156" s="2047"/>
      <c r="N156" s="2047"/>
      <c r="O156" s="58"/>
      <c r="P156" s="58"/>
      <c r="Q156" s="57"/>
    </row>
    <row r="157" spans="1:17" ht="18.75">
      <c r="A157" s="58"/>
      <c r="B157" s="769"/>
      <c r="C157" s="2064"/>
      <c r="D157" s="2049"/>
      <c r="E157" s="2049"/>
      <c r="F157" s="2049"/>
      <c r="G157" s="57"/>
      <c r="H157" s="57"/>
      <c r="I157" s="57"/>
      <c r="J157" s="57"/>
      <c r="K157" s="81"/>
      <c r="L157" s="81"/>
      <c r="M157" s="2047"/>
      <c r="N157" s="2047"/>
      <c r="O157" s="58"/>
      <c r="P157" s="58"/>
      <c r="Q157" s="57"/>
    </row>
    <row r="158" spans="1:17" ht="18.75">
      <c r="A158" s="58"/>
      <c r="B158" s="751"/>
      <c r="C158" s="3247" t="s">
        <v>788</v>
      </c>
      <c r="D158" s="3247"/>
      <c r="E158" s="3247"/>
      <c r="F158" s="3247"/>
      <c r="G158" s="57"/>
      <c r="H158" s="57"/>
      <c r="I158" s="57"/>
      <c r="J158" s="57"/>
      <c r="K158" s="57"/>
      <c r="L158" s="81"/>
      <c r="M158" s="2047"/>
      <c r="N158" s="2047"/>
      <c r="O158" s="58"/>
      <c r="P158" s="58"/>
      <c r="Q158" s="57"/>
    </row>
    <row r="159" spans="1:17" ht="18.75">
      <c r="A159" s="58"/>
      <c r="B159" s="751"/>
      <c r="C159" s="751"/>
      <c r="D159" s="751"/>
      <c r="E159" s="751"/>
      <c r="F159" s="751"/>
      <c r="G159" s="57"/>
      <c r="H159" s="57"/>
      <c r="I159" s="57"/>
      <c r="J159" s="57"/>
      <c r="K159" s="57"/>
      <c r="L159" s="81"/>
      <c r="M159" s="2047"/>
      <c r="N159" s="2047"/>
      <c r="O159" s="58"/>
      <c r="P159" s="58"/>
      <c r="Q159" s="57"/>
    </row>
    <row r="160" spans="1:17" ht="18.75">
      <c r="A160" s="58"/>
      <c r="B160" s="751"/>
      <c r="C160" s="3247" t="s">
        <v>1573</v>
      </c>
      <c r="D160" s="3247"/>
      <c r="E160" s="3247"/>
      <c r="F160" s="3247"/>
      <c r="G160" s="57"/>
      <c r="H160" s="57"/>
      <c r="I160" s="57"/>
      <c r="J160" s="57"/>
      <c r="K160" s="57"/>
      <c r="L160" s="81"/>
      <c r="M160" s="2047"/>
      <c r="N160" s="2047"/>
      <c r="O160" s="58"/>
      <c r="P160" s="58"/>
      <c r="Q160" s="57"/>
    </row>
    <row r="161" spans="1:17" ht="18.75">
      <c r="A161" s="58"/>
      <c r="B161" s="751"/>
      <c r="C161" s="768"/>
      <c r="D161" s="2049"/>
      <c r="E161" s="2049"/>
      <c r="F161" s="2049"/>
      <c r="G161" s="57"/>
      <c r="H161" s="57"/>
      <c r="I161" s="57"/>
      <c r="J161" s="57"/>
      <c r="K161" s="57"/>
      <c r="L161" s="81"/>
      <c r="M161" s="2047"/>
      <c r="N161" s="2047"/>
      <c r="O161" s="58"/>
      <c r="P161" s="58"/>
      <c r="Q161" s="57"/>
    </row>
    <row r="162" spans="1:17" ht="16.5" customHeight="1">
      <c r="A162" s="58"/>
      <c r="B162" s="313" t="s">
        <v>375</v>
      </c>
      <c r="C162" s="314"/>
      <c r="D162" s="315"/>
      <c r="E162" s="314"/>
      <c r="F162" s="314"/>
      <c r="G162" s="314"/>
      <c r="H162" s="314"/>
      <c r="I162" s="314"/>
      <c r="J162" s="314"/>
      <c r="K162" s="314"/>
      <c r="L162" s="58"/>
      <c r="M162" s="58"/>
      <c r="N162" s="58"/>
      <c r="O162" s="58"/>
      <c r="P162" s="58"/>
      <c r="Q162" s="58"/>
    </row>
    <row r="163" spans="1:17" ht="16.5" customHeight="1">
      <c r="A163" s="58"/>
      <c r="B163" s="316"/>
      <c r="C163" s="314"/>
      <c r="D163" s="704" t="s">
        <v>680</v>
      </c>
      <c r="E163" s="702"/>
      <c r="F163" s="702"/>
      <c r="G163" s="317"/>
      <c r="H163" s="317"/>
      <c r="I163" s="317"/>
      <c r="J163" s="317"/>
      <c r="K163" s="317"/>
      <c r="L163" s="58"/>
      <c r="M163" s="58"/>
      <c r="N163" s="58"/>
      <c r="O163" s="58"/>
      <c r="P163" s="58"/>
      <c r="Q163" s="58"/>
    </row>
    <row r="164" spans="1:17" ht="20.100000000000001" customHeight="1">
      <c r="A164" s="58"/>
      <c r="B164" s="318"/>
      <c r="C164" s="314"/>
      <c r="D164" s="702" t="s">
        <v>376</v>
      </c>
      <c r="E164" s="314"/>
      <c r="F164" s="314"/>
      <c r="G164" s="314"/>
      <c r="H164" s="314"/>
      <c r="I164" s="314"/>
      <c r="J164" s="314"/>
      <c r="K164" s="314"/>
      <c r="L164" s="58"/>
      <c r="M164" s="58"/>
      <c r="N164" s="58"/>
      <c r="O164" s="58"/>
      <c r="P164" s="58"/>
      <c r="Q164" s="58"/>
    </row>
    <row r="165" spans="1:17" ht="20.100000000000001" customHeight="1">
      <c r="A165" s="58"/>
      <c r="B165" s="318"/>
      <c r="C165" s="314"/>
      <c r="D165" s="702" t="s">
        <v>2291</v>
      </c>
      <c r="E165" s="314"/>
      <c r="F165" s="314"/>
      <c r="G165" s="314"/>
      <c r="H165" s="314"/>
      <c r="I165" s="704" t="s">
        <v>2292</v>
      </c>
      <c r="J165" s="314"/>
      <c r="K165" s="314"/>
      <c r="L165" s="58"/>
      <c r="M165" s="58"/>
      <c r="N165" s="58"/>
      <c r="O165" s="58"/>
      <c r="P165" s="58"/>
      <c r="Q165" s="58"/>
    </row>
    <row r="166" spans="1:17" ht="20.100000000000001" customHeight="1" thickBot="1">
      <c r="A166" s="58"/>
      <c r="B166" s="319" t="s">
        <v>2293</v>
      </c>
      <c r="C166" s="320"/>
      <c r="D166" s="321"/>
      <c r="E166" s="320"/>
      <c r="F166" s="1974"/>
      <c r="G166" s="320"/>
      <c r="H166" s="320"/>
      <c r="I166" s="320"/>
      <c r="J166" s="320"/>
      <c r="K166" s="320"/>
      <c r="L166" s="58"/>
      <c r="M166" s="58"/>
      <c r="N166" s="58"/>
      <c r="O166" s="58"/>
      <c r="P166" s="58"/>
      <c r="Q166" s="58"/>
    </row>
    <row r="167" spans="1:17" ht="20.100000000000001" customHeight="1" thickTop="1" thickBot="1">
      <c r="A167" s="58"/>
      <c r="B167" s="319"/>
      <c r="C167" s="322"/>
      <c r="D167" s="323">
        <f>LEN(F167)</f>
        <v>58</v>
      </c>
      <c r="E167" s="324" t="s">
        <v>377</v>
      </c>
      <c r="F167" s="1975" t="s">
        <v>375</v>
      </c>
      <c r="G167" s="320"/>
      <c r="H167" s="320"/>
      <c r="I167" s="320"/>
      <c r="J167" s="320"/>
      <c r="K167" s="320"/>
      <c r="L167" s="58"/>
      <c r="M167" s="58"/>
      <c r="N167" s="58"/>
      <c r="O167" s="58"/>
      <c r="P167" s="58"/>
      <c r="Q167" s="58"/>
    </row>
    <row r="168" spans="1:17" ht="20.100000000000001" customHeight="1" thickTop="1">
      <c r="A168" s="58"/>
      <c r="B168" s="319"/>
      <c r="C168" s="320"/>
      <c r="D168" s="320"/>
      <c r="E168" s="320"/>
      <c r="F168" s="1976"/>
      <c r="G168" s="320"/>
      <c r="H168" s="320"/>
      <c r="I168" s="320"/>
      <c r="J168" s="320"/>
      <c r="K168" s="320"/>
      <c r="L168" s="58"/>
      <c r="M168" s="58"/>
      <c r="N168" s="58"/>
      <c r="O168" s="58"/>
      <c r="P168" s="58"/>
      <c r="Q168" s="58"/>
    </row>
    <row r="169" spans="1:17" ht="20.100000000000001" customHeight="1">
      <c r="A169" s="58"/>
      <c r="B169" s="319" t="s">
        <v>378</v>
      </c>
      <c r="C169" s="325"/>
      <c r="D169" s="325"/>
      <c r="E169" s="325"/>
      <c r="F169" s="325"/>
      <c r="G169" s="325"/>
      <c r="H169" s="325"/>
      <c r="I169" s="325"/>
      <c r="J169" s="325"/>
      <c r="K169" s="325"/>
      <c r="L169" s="58"/>
      <c r="M169" s="58"/>
      <c r="N169" s="58"/>
      <c r="O169" s="58"/>
      <c r="P169" s="58"/>
      <c r="Q169" s="58"/>
    </row>
    <row r="170" spans="1:17" ht="20.100000000000001" customHeight="1">
      <c r="A170" s="58"/>
      <c r="B170" s="319"/>
      <c r="C170" s="322"/>
      <c r="D170" s="323">
        <f>LEN(F170)</f>
        <v>50</v>
      </c>
      <c r="E170" s="324" t="s">
        <v>377</v>
      </c>
      <c r="F170" s="703" t="str">
        <f>SUBSTITUTE(F167," ","")</f>
        <v>Utilitairepoursupprimerlesespacevidesdansunephrase</v>
      </c>
      <c r="G170" s="320"/>
      <c r="H170" s="320"/>
      <c r="I170" s="320"/>
      <c r="J170" s="320"/>
      <c r="K170" s="320"/>
      <c r="L170" s="58"/>
      <c r="M170" s="58"/>
      <c r="N170" s="58"/>
      <c r="O170" s="58"/>
      <c r="P170" s="58"/>
      <c r="Q170" s="58"/>
    </row>
    <row r="171" spans="1:17" ht="18">
      <c r="A171" s="58"/>
      <c r="B171" s="319"/>
      <c r="C171" s="319" t="s">
        <v>2294</v>
      </c>
      <c r="D171" s="325"/>
      <c r="E171" s="325"/>
      <c r="F171" s="325"/>
      <c r="G171" s="325"/>
      <c r="H171" s="325"/>
      <c r="I171" s="325"/>
      <c r="J171" s="325"/>
      <c r="K171" s="325"/>
      <c r="L171" s="58"/>
      <c r="M171" s="58"/>
      <c r="N171" s="58"/>
      <c r="O171" s="58"/>
      <c r="P171" s="58"/>
      <c r="Q171" s="58"/>
    </row>
    <row r="172" spans="1:17" ht="18">
      <c r="A172" s="58"/>
      <c r="B172" s="326"/>
      <c r="C172" s="319" t="s">
        <v>2295</v>
      </c>
      <c r="D172" s="319"/>
      <c r="E172" s="326"/>
      <c r="F172" s="326"/>
      <c r="G172" s="326"/>
      <c r="H172" s="326"/>
      <c r="I172" s="326"/>
      <c r="J172" s="326"/>
      <c r="K172" s="326"/>
      <c r="L172" s="58"/>
      <c r="M172" s="58"/>
      <c r="N172" s="58"/>
      <c r="O172" s="58"/>
      <c r="P172" s="58"/>
      <c r="Q172" s="58"/>
    </row>
    <row r="173" spans="1:17" ht="18">
      <c r="A173" s="58"/>
      <c r="B173" s="326"/>
      <c r="C173" s="319" t="s">
        <v>2296</v>
      </c>
      <c r="D173" s="319"/>
      <c r="E173" s="326"/>
      <c r="F173" s="326"/>
      <c r="G173" s="326"/>
      <c r="H173" s="326"/>
      <c r="I173" s="326"/>
      <c r="J173" s="326"/>
      <c r="K173" s="326"/>
      <c r="L173" s="58"/>
      <c r="M173" s="58"/>
      <c r="N173" s="58"/>
      <c r="O173" s="58"/>
      <c r="P173" s="58"/>
      <c r="Q173" s="58"/>
    </row>
    <row r="174" spans="1:17" ht="18">
      <c r="A174" s="58"/>
      <c r="B174" s="326"/>
      <c r="C174" s="319"/>
      <c r="D174" s="319"/>
      <c r="E174" s="326"/>
      <c r="F174" s="326"/>
      <c r="G174" s="326"/>
      <c r="H174" s="326"/>
      <c r="I174" s="326"/>
      <c r="J174" s="326"/>
      <c r="K174" s="326"/>
      <c r="L174" s="58"/>
      <c r="M174" s="58"/>
      <c r="N174" s="58"/>
      <c r="O174" s="58"/>
      <c r="P174" s="58"/>
      <c r="Q174" s="58"/>
    </row>
    <row r="175" spans="1:17" ht="15.75">
      <c r="A175" s="58"/>
      <c r="B175" s="326"/>
      <c r="C175" s="1977" t="s">
        <v>2297</v>
      </c>
      <c r="D175" s="1978" t="s">
        <v>2298</v>
      </c>
      <c r="E175" s="326"/>
      <c r="F175" s="326"/>
      <c r="G175" s="326"/>
      <c r="H175" s="326"/>
      <c r="I175" s="326"/>
      <c r="J175" s="326"/>
      <c r="K175" s="326"/>
      <c r="L175" s="58"/>
      <c r="M175" s="58"/>
      <c r="N175" s="58"/>
      <c r="O175" s="58"/>
      <c r="P175" s="58"/>
      <c r="Q175" s="58"/>
    </row>
    <row r="176" spans="1:17" ht="15" customHeight="1">
      <c r="B176" s="326"/>
      <c r="C176" s="326"/>
      <c r="D176" s="326"/>
      <c r="E176" s="326"/>
      <c r="F176" s="326"/>
      <c r="G176" s="326"/>
      <c r="H176" s="326"/>
      <c r="I176" s="326"/>
      <c r="J176" s="326"/>
      <c r="K176" s="326"/>
      <c r="L176" s="58"/>
      <c r="M176" s="58"/>
      <c r="N176" s="58"/>
      <c r="O176" s="58"/>
      <c r="P176" s="58"/>
      <c r="Q176" s="58"/>
    </row>
    <row r="177" spans="1:17">
      <c r="A177" s="58"/>
      <c r="B177" s="57"/>
      <c r="C177" s="57"/>
      <c r="D177" s="57"/>
      <c r="E177" s="57"/>
      <c r="F177" s="57"/>
      <c r="G177" s="57"/>
      <c r="H177" s="57"/>
      <c r="I177" s="57"/>
      <c r="J177" s="57"/>
      <c r="K177" s="57"/>
      <c r="L177" s="57"/>
      <c r="M177" s="58"/>
      <c r="N177" s="58"/>
      <c r="O177" s="58"/>
      <c r="P177" s="58"/>
      <c r="Q177" s="58"/>
    </row>
    <row r="178" spans="1:17" ht="18.75">
      <c r="A178" s="58"/>
      <c r="B178" s="57"/>
      <c r="C178" s="896"/>
      <c r="D178" s="768" t="s">
        <v>788</v>
      </c>
      <c r="E178" s="897"/>
      <c r="F178" s="897"/>
      <c r="G178" s="58"/>
      <c r="H178" s="58"/>
      <c r="I178" s="58"/>
      <c r="J178" s="58"/>
      <c r="K178" s="58"/>
      <c r="L178" s="58"/>
      <c r="M178" s="58"/>
      <c r="N178" s="58"/>
      <c r="O178" s="58"/>
      <c r="P178" s="58"/>
      <c r="Q178" s="58"/>
    </row>
    <row r="179" spans="1:17">
      <c r="A179" s="58"/>
      <c r="B179" s="57"/>
      <c r="C179" s="54"/>
      <c r="D179" s="898"/>
      <c r="E179" s="58"/>
      <c r="F179" s="58"/>
      <c r="G179" s="58"/>
      <c r="H179" s="58"/>
      <c r="I179" s="58"/>
      <c r="J179" s="58"/>
      <c r="K179" s="58"/>
      <c r="L179" s="58"/>
      <c r="M179" s="58"/>
      <c r="N179" s="58"/>
      <c r="O179" s="58"/>
      <c r="P179" s="58"/>
      <c r="Q179" s="58"/>
    </row>
    <row r="180" spans="1:17">
      <c r="A180" s="58"/>
      <c r="B180" s="57"/>
      <c r="C180" s="899" t="s">
        <v>787</v>
      </c>
      <c r="D180" s="54"/>
      <c r="E180" s="54"/>
      <c r="F180" s="58"/>
      <c r="G180" s="58"/>
      <c r="H180" s="58"/>
      <c r="I180" s="891" t="s">
        <v>759</v>
      </c>
      <c r="J180" s="891" t="s">
        <v>760</v>
      </c>
      <c r="K180" s="58"/>
      <c r="L180" s="58"/>
      <c r="M180" s="58"/>
      <c r="N180" s="58"/>
      <c r="O180" s="58"/>
      <c r="P180" s="58"/>
      <c r="Q180" s="58"/>
    </row>
    <row r="181" spans="1:17">
      <c r="A181" s="58"/>
      <c r="B181" s="57"/>
      <c r="C181" s="892" t="s">
        <v>761</v>
      </c>
      <c r="D181" s="54"/>
      <c r="E181" s="54"/>
      <c r="F181" s="58"/>
      <c r="G181" s="58"/>
      <c r="H181" s="58"/>
      <c r="I181" s="893">
        <v>41422</v>
      </c>
      <c r="J181" s="894">
        <v>4416</v>
      </c>
      <c r="K181" s="58"/>
      <c r="L181" s="58"/>
      <c r="M181" s="58"/>
      <c r="N181" s="58"/>
      <c r="O181" s="58"/>
      <c r="P181" s="58"/>
      <c r="Q181" s="58"/>
    </row>
    <row r="182" spans="1:17">
      <c r="A182" s="58"/>
      <c r="B182" s="57"/>
      <c r="C182" s="892" t="s">
        <v>762</v>
      </c>
      <c r="D182" s="54"/>
      <c r="E182" s="54"/>
      <c r="F182" s="58"/>
      <c r="G182" s="58"/>
      <c r="H182" s="58"/>
      <c r="I182" s="893">
        <v>41092</v>
      </c>
      <c r="J182" s="894">
        <v>14900</v>
      </c>
      <c r="K182" s="58"/>
      <c r="L182" s="58"/>
      <c r="M182" s="58"/>
      <c r="N182" s="58"/>
      <c r="O182" s="58"/>
      <c r="P182" s="58"/>
      <c r="Q182" s="58"/>
    </row>
    <row r="183" spans="1:17">
      <c r="A183" s="58"/>
      <c r="B183" s="57"/>
      <c r="C183" s="892" t="s">
        <v>763</v>
      </c>
      <c r="D183" s="54"/>
      <c r="E183" s="54"/>
      <c r="F183" s="58"/>
      <c r="G183" s="58"/>
      <c r="H183" s="58"/>
      <c r="I183" s="893">
        <v>41062</v>
      </c>
      <c r="J183" s="894">
        <v>36257</v>
      </c>
      <c r="K183" s="58"/>
      <c r="L183" s="58"/>
      <c r="M183" s="58"/>
      <c r="N183" s="58"/>
      <c r="O183" s="58"/>
      <c r="P183" s="58"/>
      <c r="Q183" s="58"/>
    </row>
    <row r="184" spans="1:17">
      <c r="A184" s="58"/>
      <c r="B184" s="57"/>
      <c r="C184" s="892" t="s">
        <v>764</v>
      </c>
      <c r="D184" s="54"/>
      <c r="E184" s="54"/>
      <c r="F184" s="58"/>
      <c r="G184" s="58"/>
      <c r="H184" s="58"/>
      <c r="I184" s="893">
        <v>41062</v>
      </c>
      <c r="J184" s="894">
        <v>14390</v>
      </c>
      <c r="K184" s="58"/>
      <c r="L184" s="58"/>
      <c r="M184" s="58"/>
      <c r="N184" s="58"/>
      <c r="O184" s="58"/>
      <c r="P184" s="58"/>
      <c r="Q184" s="58"/>
    </row>
    <row r="185" spans="1:17">
      <c r="A185" s="58"/>
      <c r="B185" s="57"/>
      <c r="C185" s="2042" t="s">
        <v>765</v>
      </c>
      <c r="D185" s="54"/>
      <c r="E185" s="54"/>
      <c r="F185" s="58"/>
      <c r="G185" s="58"/>
      <c r="H185" s="58"/>
      <c r="I185" s="893">
        <v>41052</v>
      </c>
      <c r="J185" s="894">
        <v>48910</v>
      </c>
      <c r="K185" s="58"/>
      <c r="L185" s="58"/>
      <c r="M185" s="58"/>
      <c r="N185" s="58"/>
      <c r="O185" s="58"/>
      <c r="P185" s="58"/>
      <c r="Q185" s="58"/>
    </row>
    <row r="186" spans="1:17">
      <c r="A186" s="58"/>
      <c r="B186" s="57"/>
      <c r="C186" s="892" t="s">
        <v>766</v>
      </c>
      <c r="D186" s="54"/>
      <c r="E186" s="54"/>
      <c r="F186" s="58"/>
      <c r="G186" s="58"/>
      <c r="H186" s="58"/>
      <c r="I186" s="893">
        <v>41025</v>
      </c>
      <c r="J186" s="894">
        <v>14751</v>
      </c>
      <c r="K186" s="58"/>
      <c r="L186" s="58"/>
      <c r="M186" s="58"/>
      <c r="N186" s="58"/>
      <c r="O186" s="58"/>
      <c r="P186" s="58"/>
      <c r="Q186" s="58"/>
    </row>
    <row r="187" spans="1:17">
      <c r="A187" s="58"/>
      <c r="B187" s="57"/>
      <c r="C187" s="892" t="s">
        <v>767</v>
      </c>
      <c r="D187" s="54"/>
      <c r="E187" s="54"/>
      <c r="F187" s="58"/>
      <c r="G187" s="58"/>
      <c r="H187" s="58"/>
      <c r="I187" s="893">
        <v>40848</v>
      </c>
      <c r="J187" s="894">
        <v>10084</v>
      </c>
      <c r="K187" s="58"/>
      <c r="L187" s="58"/>
      <c r="M187" s="58"/>
      <c r="N187" s="58"/>
      <c r="O187" s="58"/>
      <c r="P187" s="58"/>
      <c r="Q187" s="58"/>
    </row>
    <row r="188" spans="1:17">
      <c r="A188" s="58"/>
      <c r="B188" s="57"/>
      <c r="C188" s="892" t="s">
        <v>768</v>
      </c>
      <c r="D188" s="54"/>
      <c r="E188" s="54"/>
      <c r="F188" s="58"/>
      <c r="G188" s="58"/>
      <c r="H188" s="58"/>
      <c r="I188" s="893">
        <v>40454</v>
      </c>
      <c r="J188" s="894">
        <v>45222</v>
      </c>
      <c r="K188" s="58"/>
      <c r="L188" s="58"/>
      <c r="M188" s="58"/>
      <c r="N188" s="58"/>
      <c r="O188" s="58"/>
      <c r="P188" s="58"/>
      <c r="Q188" s="58"/>
    </row>
    <row r="189" spans="1:17">
      <c r="A189" s="58"/>
      <c r="B189" s="57"/>
      <c r="C189" s="892" t="s">
        <v>769</v>
      </c>
      <c r="D189" s="54"/>
      <c r="E189" s="54"/>
      <c r="F189" s="58"/>
      <c r="G189" s="58"/>
      <c r="H189" s="58"/>
      <c r="I189" s="893">
        <v>40294</v>
      </c>
      <c r="J189" s="894">
        <v>65784</v>
      </c>
      <c r="K189" s="58"/>
      <c r="L189" s="58"/>
      <c r="M189" s="58"/>
      <c r="N189" s="58"/>
      <c r="O189" s="58"/>
      <c r="P189" s="58"/>
      <c r="Q189" s="58"/>
    </row>
    <row r="190" spans="1:17">
      <c r="A190" s="58"/>
      <c r="B190" s="57"/>
      <c r="C190" s="892" t="s">
        <v>770</v>
      </c>
      <c r="D190" s="54"/>
      <c r="E190" s="54"/>
      <c r="F190" s="58"/>
      <c r="G190" s="58"/>
      <c r="H190" s="58"/>
      <c r="I190" s="893">
        <v>40273</v>
      </c>
      <c r="J190" s="894">
        <v>96965</v>
      </c>
      <c r="K190" s="58"/>
      <c r="L190" s="58"/>
      <c r="M190" s="58"/>
      <c r="N190" s="58"/>
      <c r="O190" s="58"/>
      <c r="P190" s="58"/>
      <c r="Q190" s="58"/>
    </row>
    <row r="191" spans="1:17">
      <c r="A191" s="58"/>
      <c r="B191" s="57"/>
      <c r="C191" s="892" t="s">
        <v>771</v>
      </c>
      <c r="D191" s="54"/>
      <c r="E191" s="54"/>
      <c r="F191" s="58"/>
      <c r="G191" s="58"/>
      <c r="H191" s="58"/>
      <c r="I191" s="893">
        <v>40273</v>
      </c>
      <c r="J191" s="894">
        <v>45902</v>
      </c>
      <c r="K191" s="58"/>
      <c r="L191" s="58"/>
      <c r="M191" s="58"/>
      <c r="N191" s="58"/>
      <c r="O191" s="58"/>
      <c r="P191" s="58"/>
      <c r="Q191" s="58"/>
    </row>
    <row r="192" spans="1:17">
      <c r="A192" s="58"/>
      <c r="B192" s="57"/>
      <c r="C192" s="892" t="s">
        <v>772</v>
      </c>
      <c r="D192" s="54"/>
      <c r="E192" s="54"/>
      <c r="F192" s="58"/>
      <c r="G192" s="58"/>
      <c r="H192" s="58"/>
      <c r="I192" s="893">
        <v>40250</v>
      </c>
      <c r="J192" s="894">
        <v>122444</v>
      </c>
      <c r="K192" s="58"/>
      <c r="L192" s="58"/>
      <c r="M192" s="58"/>
      <c r="N192" s="58"/>
      <c r="O192" s="58"/>
      <c r="P192" s="58"/>
      <c r="Q192" s="58"/>
    </row>
    <row r="193" spans="1:17">
      <c r="A193" s="58"/>
      <c r="B193" s="57"/>
      <c r="C193" s="892" t="s">
        <v>773</v>
      </c>
      <c r="D193" s="54"/>
      <c r="E193" s="54"/>
      <c r="F193" s="58"/>
      <c r="G193" s="58"/>
      <c r="H193" s="58"/>
      <c r="I193" s="893">
        <v>40182</v>
      </c>
      <c r="J193" s="894">
        <v>100241</v>
      </c>
      <c r="K193" s="58"/>
      <c r="L193" s="58"/>
      <c r="M193" s="58"/>
      <c r="N193" s="58"/>
      <c r="O193" s="58"/>
      <c r="P193" s="58"/>
      <c r="Q193" s="58"/>
    </row>
    <row r="194" spans="1:17">
      <c r="A194" s="58"/>
      <c r="B194" s="57"/>
      <c r="C194" s="892" t="s">
        <v>774</v>
      </c>
      <c r="D194" s="54"/>
      <c r="E194" s="54"/>
      <c r="F194" s="58"/>
      <c r="G194" s="58"/>
      <c r="H194" s="58"/>
      <c r="I194" s="893">
        <v>40138</v>
      </c>
      <c r="J194" s="894">
        <v>23956</v>
      </c>
      <c r="K194" s="58"/>
      <c r="L194" s="58"/>
      <c r="M194" s="58"/>
      <c r="N194" s="58"/>
      <c r="O194" s="58"/>
      <c r="P194" s="58"/>
      <c r="Q194" s="58"/>
    </row>
    <row r="195" spans="1:17">
      <c r="A195" s="58"/>
      <c r="B195" s="57"/>
      <c r="C195" s="892" t="s">
        <v>775</v>
      </c>
      <c r="D195" s="54"/>
      <c r="E195" s="54"/>
      <c r="F195" s="58"/>
      <c r="G195" s="58"/>
      <c r="H195" s="58"/>
      <c r="I195" s="893">
        <v>40125</v>
      </c>
      <c r="J195" s="894">
        <v>113684</v>
      </c>
      <c r="K195" s="58"/>
      <c r="L195" s="58"/>
      <c r="M195" s="58"/>
      <c r="N195" s="58"/>
      <c r="O195" s="58"/>
      <c r="P195" s="58"/>
      <c r="Q195" s="58"/>
    </row>
    <row r="196" spans="1:17">
      <c r="A196" s="58"/>
      <c r="B196" s="57"/>
      <c r="C196" s="892" t="s">
        <v>776</v>
      </c>
      <c r="D196" s="54"/>
      <c r="E196" s="54"/>
      <c r="F196" s="58"/>
      <c r="G196" s="58"/>
      <c r="H196" s="58"/>
      <c r="I196" s="893">
        <v>40111</v>
      </c>
      <c r="J196" s="894">
        <v>27154</v>
      </c>
      <c r="K196" s="58"/>
      <c r="L196" s="58"/>
      <c r="M196" s="58"/>
      <c r="N196" s="58"/>
      <c r="O196" s="58"/>
      <c r="P196" s="58"/>
      <c r="Q196" s="58"/>
    </row>
    <row r="197" spans="1:17">
      <c r="A197" s="58"/>
      <c r="B197" s="57"/>
      <c r="C197" s="892" t="s">
        <v>777</v>
      </c>
      <c r="D197" s="54"/>
      <c r="E197" s="54"/>
      <c r="F197" s="58"/>
      <c r="G197" s="58"/>
      <c r="H197" s="58"/>
      <c r="I197" s="893">
        <v>40096</v>
      </c>
      <c r="J197" s="894">
        <v>25774</v>
      </c>
      <c r="K197" s="58"/>
      <c r="L197" s="58"/>
      <c r="M197" s="58"/>
      <c r="N197" s="58"/>
      <c r="O197" s="58"/>
      <c r="P197" s="58"/>
      <c r="Q197" s="58"/>
    </row>
    <row r="198" spans="1:17">
      <c r="A198" s="58"/>
      <c r="B198" s="57"/>
      <c r="C198" s="892" t="s">
        <v>778</v>
      </c>
      <c r="D198" s="54"/>
      <c r="E198" s="54"/>
      <c r="F198" s="58"/>
      <c r="G198" s="58"/>
      <c r="H198" s="58"/>
      <c r="I198" s="893">
        <v>40085</v>
      </c>
      <c r="J198" s="894">
        <v>79344</v>
      </c>
      <c r="K198" s="58"/>
      <c r="L198" s="58"/>
      <c r="M198" s="58"/>
      <c r="N198" s="58"/>
      <c r="O198" s="58"/>
      <c r="P198" s="58"/>
      <c r="Q198" s="58"/>
    </row>
    <row r="199" spans="1:17">
      <c r="A199" s="58"/>
      <c r="B199" s="57"/>
      <c r="C199" s="892" t="s">
        <v>779</v>
      </c>
      <c r="D199" s="54"/>
      <c r="E199" s="54"/>
      <c r="F199" s="58"/>
      <c r="G199" s="58"/>
      <c r="H199" s="58"/>
      <c r="I199" s="893">
        <v>40068</v>
      </c>
      <c r="J199" s="894">
        <v>145176</v>
      </c>
      <c r="K199" s="58"/>
      <c r="L199" s="58"/>
      <c r="M199" s="58"/>
      <c r="N199" s="58"/>
      <c r="O199" s="58"/>
      <c r="P199" s="58"/>
      <c r="Q199" s="58"/>
    </row>
    <row r="200" spans="1:17">
      <c r="A200" s="58"/>
      <c r="B200" s="57"/>
      <c r="C200" s="892" t="s">
        <v>780</v>
      </c>
      <c r="D200" s="54"/>
      <c r="E200" s="54"/>
      <c r="F200" s="58"/>
      <c r="G200" s="58"/>
      <c r="H200" s="58"/>
      <c r="I200" s="893">
        <v>40048</v>
      </c>
      <c r="J200" s="894">
        <v>7657</v>
      </c>
      <c r="K200" s="58"/>
      <c r="L200" s="58"/>
      <c r="M200" s="58"/>
      <c r="N200" s="58"/>
      <c r="O200" s="58"/>
      <c r="P200" s="58"/>
      <c r="Q200" s="58"/>
    </row>
    <row r="201" spans="1:17">
      <c r="A201" s="58"/>
      <c r="B201" s="57"/>
      <c r="C201" s="892" t="s">
        <v>781</v>
      </c>
      <c r="D201" s="54"/>
      <c r="E201" s="54"/>
      <c r="F201" s="58"/>
      <c r="G201" s="58"/>
      <c r="H201" s="58"/>
      <c r="I201" s="893">
        <v>40044</v>
      </c>
      <c r="J201" s="894">
        <v>45164</v>
      </c>
      <c r="K201" s="58"/>
      <c r="L201" s="58"/>
      <c r="M201" s="58"/>
      <c r="N201" s="58"/>
      <c r="O201" s="58"/>
      <c r="P201" s="58"/>
      <c r="Q201" s="58"/>
    </row>
    <row r="202" spans="1:17">
      <c r="A202" s="58"/>
      <c r="B202" s="57"/>
      <c r="C202" s="892" t="s">
        <v>782</v>
      </c>
      <c r="D202" s="54"/>
      <c r="E202" s="54"/>
      <c r="F202" s="58"/>
      <c r="G202" s="58"/>
      <c r="H202" s="58"/>
      <c r="I202" s="893">
        <v>40020</v>
      </c>
      <c r="J202" s="894">
        <v>105218</v>
      </c>
      <c r="K202" s="58"/>
      <c r="L202" s="58"/>
      <c r="M202" s="58"/>
      <c r="N202" s="58"/>
      <c r="O202" s="58"/>
      <c r="P202" s="58"/>
      <c r="Q202" s="58"/>
    </row>
    <row r="203" spans="1:17">
      <c r="A203" s="58"/>
      <c r="B203" s="57"/>
      <c r="C203" s="892" t="s">
        <v>783</v>
      </c>
      <c r="D203" s="54"/>
      <c r="E203" s="54"/>
      <c r="F203" s="58"/>
      <c r="G203" s="58"/>
      <c r="H203" s="58"/>
      <c r="I203" s="893">
        <v>39788</v>
      </c>
      <c r="J203" s="894">
        <v>59780</v>
      </c>
      <c r="K203" s="58"/>
      <c r="L203" s="58"/>
      <c r="M203" s="58"/>
      <c r="N203" s="58"/>
      <c r="O203" s="58"/>
      <c r="P203" s="58"/>
      <c r="Q203" s="58"/>
    </row>
    <row r="204" spans="1:17">
      <c r="A204" s="58"/>
      <c r="B204" s="57"/>
      <c r="C204" s="892" t="s">
        <v>784</v>
      </c>
      <c r="D204" s="54"/>
      <c r="E204" s="54"/>
      <c r="F204" s="58"/>
      <c r="G204" s="58"/>
      <c r="H204" s="58"/>
      <c r="I204" s="893">
        <v>39787</v>
      </c>
      <c r="J204" s="894">
        <v>75563</v>
      </c>
      <c r="K204" s="58"/>
      <c r="L204" s="58"/>
      <c r="M204" s="58"/>
      <c r="N204" s="58"/>
      <c r="O204" s="58"/>
      <c r="P204" s="58"/>
      <c r="Q204" s="58"/>
    </row>
    <row r="205" spans="1:17">
      <c r="A205" s="58"/>
      <c r="B205" s="57"/>
      <c r="C205" s="892" t="s">
        <v>785</v>
      </c>
      <c r="D205" s="54"/>
      <c r="E205" s="54"/>
      <c r="F205" s="58"/>
      <c r="G205" s="58"/>
      <c r="H205" s="58"/>
      <c r="I205" s="893">
        <v>39787</v>
      </c>
      <c r="J205" s="894">
        <v>15781</v>
      </c>
      <c r="K205" s="58"/>
      <c r="L205" s="58"/>
      <c r="M205" s="58"/>
      <c r="N205" s="58"/>
      <c r="O205" s="58"/>
      <c r="P205" s="58"/>
      <c r="Q205" s="58"/>
    </row>
    <row r="206" spans="1:17">
      <c r="A206" s="58"/>
      <c r="B206" s="57"/>
      <c r="C206" s="892" t="s">
        <v>786</v>
      </c>
      <c r="D206" s="895"/>
      <c r="E206" s="895"/>
      <c r="F206" s="58"/>
      <c r="G206" s="58"/>
      <c r="H206" s="58"/>
      <c r="I206" s="58"/>
      <c r="J206" s="58"/>
      <c r="K206" s="58"/>
      <c r="L206" s="58"/>
      <c r="M206" s="58"/>
      <c r="N206" s="58"/>
      <c r="O206" s="58"/>
      <c r="P206" s="58"/>
      <c r="Q206" s="58"/>
    </row>
    <row r="207" spans="1:17" ht="20.100000000000001" customHeight="1">
      <c r="B207" s="54"/>
      <c r="C207" s="54"/>
      <c r="D207" s="54"/>
      <c r="E207" s="1029"/>
      <c r="F207" s="1029"/>
      <c r="G207" s="54"/>
      <c r="H207" s="54"/>
      <c r="I207" s="54"/>
      <c r="J207" s="54"/>
      <c r="K207" s="54"/>
      <c r="L207" s="58"/>
      <c r="M207" s="58"/>
      <c r="N207" s="58"/>
      <c r="O207" s="58"/>
      <c r="P207" s="58"/>
      <c r="Q207" s="58"/>
    </row>
    <row r="208" spans="1:17" ht="20.100000000000001" customHeight="1">
      <c r="B208" s="54"/>
      <c r="C208" s="2074" t="s">
        <v>2353</v>
      </c>
      <c r="D208" s="54"/>
      <c r="E208" s="1029"/>
      <c r="F208" s="1029"/>
      <c r="G208" s="54"/>
      <c r="H208" s="54"/>
      <c r="I208" s="54"/>
      <c r="J208" s="54"/>
      <c r="K208" s="54"/>
      <c r="L208" s="58"/>
      <c r="M208" s="58"/>
      <c r="N208" s="58"/>
      <c r="O208" s="58"/>
      <c r="P208" s="58"/>
      <c r="Q208" s="58"/>
    </row>
    <row r="209" spans="1:1310" ht="20.100000000000001" customHeight="1">
      <c r="B209" s="54"/>
      <c r="C209" s="54"/>
      <c r="D209" s="54"/>
      <c r="E209" s="1029"/>
      <c r="F209" s="1029"/>
      <c r="G209" s="54"/>
      <c r="H209" s="54"/>
      <c r="I209" s="54"/>
      <c r="J209" s="54"/>
      <c r="K209" s="54"/>
      <c r="L209" s="58"/>
      <c r="M209" s="58"/>
      <c r="N209" s="58"/>
      <c r="O209" s="58"/>
      <c r="P209" s="58"/>
      <c r="Q209" s="58"/>
    </row>
    <row r="210" spans="1:1310" ht="20.100000000000001" customHeight="1">
      <c r="B210" s="54"/>
      <c r="C210" s="54"/>
      <c r="D210" s="54"/>
      <c r="E210" s="1029"/>
      <c r="F210" s="1029"/>
      <c r="G210" s="54"/>
      <c r="H210" s="54"/>
      <c r="I210" s="54"/>
      <c r="J210" s="54"/>
      <c r="K210" s="54"/>
      <c r="L210" s="58"/>
      <c r="M210" s="58"/>
      <c r="N210" s="58"/>
      <c r="O210" s="58"/>
      <c r="P210" s="58"/>
      <c r="Q210" s="58"/>
    </row>
    <row r="211" spans="1:1310" ht="20.100000000000001" customHeight="1">
      <c r="B211" s="54"/>
      <c r="C211" s="54"/>
      <c r="D211" s="54"/>
      <c r="E211" s="1029"/>
      <c r="F211" s="1029"/>
      <c r="G211" s="54"/>
      <c r="H211" s="54"/>
      <c r="I211" s="54"/>
      <c r="J211" s="54"/>
      <c r="K211" s="54"/>
      <c r="L211" s="58"/>
      <c r="M211" s="58"/>
      <c r="N211" s="58"/>
      <c r="O211" s="58"/>
      <c r="P211" s="58"/>
      <c r="Q211" s="58"/>
    </row>
    <row r="212" spans="1:1310" ht="20.100000000000001" customHeight="1">
      <c r="B212" s="54"/>
      <c r="C212" s="54"/>
      <c r="D212" s="54"/>
      <c r="E212" s="1029"/>
      <c r="F212" s="1029"/>
      <c r="G212" s="54"/>
      <c r="H212" s="54"/>
      <c r="I212" s="54"/>
      <c r="J212" s="54"/>
      <c r="K212" s="54"/>
      <c r="L212" s="58"/>
      <c r="M212" s="58"/>
      <c r="N212" s="58"/>
      <c r="O212" s="58"/>
      <c r="P212" s="58"/>
      <c r="Q212" s="58"/>
    </row>
    <row r="213" spans="1:1310" ht="20.100000000000001" customHeight="1">
      <c r="B213" s="54"/>
      <c r="C213" s="54"/>
      <c r="D213" s="54"/>
      <c r="E213" s="1029"/>
      <c r="F213" s="1029"/>
      <c r="G213" s="54"/>
      <c r="H213" s="54"/>
      <c r="I213" s="54"/>
      <c r="J213" s="54"/>
      <c r="K213" s="54"/>
      <c r="L213" s="58"/>
      <c r="M213" s="58"/>
      <c r="N213" s="58"/>
      <c r="O213" s="58"/>
      <c r="P213" s="58"/>
      <c r="Q213" s="58"/>
    </row>
    <row r="214" spans="1:1310" ht="20.100000000000001" customHeight="1">
      <c r="B214" s="54"/>
      <c r="C214" s="54"/>
      <c r="D214" s="54"/>
      <c r="E214" s="1029"/>
      <c r="F214" s="1029"/>
      <c r="G214" s="54"/>
      <c r="H214" s="54"/>
      <c r="I214" s="54"/>
      <c r="J214" s="54"/>
      <c r="K214" s="54"/>
      <c r="L214" s="58"/>
      <c r="M214" s="58"/>
      <c r="N214" s="58"/>
      <c r="O214" s="58"/>
      <c r="P214" s="58"/>
      <c r="Q214" s="58"/>
    </row>
    <row r="215" spans="1:1310" ht="20.100000000000001" customHeight="1">
      <c r="B215" s="54"/>
      <c r="C215" s="54"/>
      <c r="D215" s="54"/>
      <c r="E215" s="1029"/>
      <c r="F215" s="1029"/>
      <c r="G215" s="54"/>
      <c r="H215" s="54"/>
      <c r="I215" s="54"/>
      <c r="J215" s="54"/>
      <c r="K215" s="54"/>
      <c r="L215" s="58"/>
      <c r="M215" s="58"/>
      <c r="N215" s="58"/>
      <c r="O215" s="58"/>
      <c r="P215" s="58"/>
      <c r="Q215" s="58"/>
    </row>
    <row r="216" spans="1:1310" ht="20.100000000000001" customHeight="1">
      <c r="B216" s="54"/>
      <c r="C216" s="54"/>
      <c r="D216" s="54"/>
      <c r="E216" s="1029"/>
      <c r="F216" s="1029"/>
      <c r="G216" s="54"/>
      <c r="H216" s="54"/>
      <c r="I216" s="54"/>
      <c r="J216" s="54"/>
      <c r="K216" s="54"/>
      <c r="L216" s="58"/>
      <c r="M216" s="58"/>
      <c r="N216" s="58"/>
      <c r="O216" s="58"/>
      <c r="P216" s="58"/>
      <c r="Q216" s="58"/>
    </row>
    <row r="217" spans="1:1310" ht="20.100000000000001" customHeight="1">
      <c r="B217" s="54"/>
      <c r="C217" s="54"/>
      <c r="D217" s="54"/>
      <c r="E217" s="1029"/>
      <c r="F217" s="1029"/>
      <c r="G217" s="54"/>
      <c r="H217" s="54"/>
      <c r="I217" s="54"/>
      <c r="J217" s="54"/>
      <c r="K217" s="54"/>
      <c r="L217" s="58"/>
      <c r="M217" s="58"/>
      <c r="N217" s="58"/>
      <c r="O217" s="58"/>
      <c r="P217" s="58"/>
      <c r="Q217" s="58"/>
    </row>
    <row r="218" spans="1:1310" ht="20.100000000000001" customHeight="1">
      <c r="B218" s="54"/>
      <c r="C218" s="54"/>
      <c r="D218" s="54"/>
      <c r="E218" s="1029"/>
      <c r="F218" s="1029"/>
      <c r="G218" s="54"/>
      <c r="H218" s="54"/>
      <c r="I218" s="54"/>
      <c r="J218" s="54"/>
      <c r="K218" s="54"/>
      <c r="L218" s="58"/>
      <c r="M218" s="58"/>
      <c r="N218" s="58"/>
      <c r="O218" s="58"/>
      <c r="P218" s="58"/>
      <c r="Q218" s="58"/>
    </row>
    <row r="219" spans="1:1310" ht="20.100000000000001" customHeight="1">
      <c r="B219" s="54"/>
      <c r="C219" s="54"/>
      <c r="D219" s="54"/>
      <c r="E219" s="1029"/>
      <c r="F219" s="1029"/>
      <c r="G219" s="54"/>
      <c r="H219" s="54"/>
      <c r="I219" s="54"/>
      <c r="J219" s="54"/>
      <c r="K219" s="54"/>
      <c r="L219" s="58"/>
      <c r="M219" s="58"/>
      <c r="N219" s="58"/>
      <c r="O219" s="58"/>
      <c r="P219" s="58"/>
      <c r="Q219" s="58"/>
    </row>
    <row r="220" spans="1:1310" ht="20.100000000000001" customHeight="1">
      <c r="B220" s="54"/>
      <c r="C220" s="54"/>
      <c r="D220" s="54"/>
      <c r="E220" s="1029"/>
      <c r="F220" s="1029"/>
      <c r="G220" s="54"/>
      <c r="H220" s="54"/>
      <c r="I220" s="54"/>
      <c r="J220" s="54"/>
      <c r="K220" s="54"/>
      <c r="L220" s="58"/>
      <c r="M220" s="58"/>
      <c r="N220" s="58"/>
      <c r="O220" s="58"/>
      <c r="P220" s="58"/>
      <c r="Q220" s="58"/>
    </row>
    <row r="221" spans="1:1310" s="2077" customFormat="1" ht="23.25" customHeight="1">
      <c r="A221" s="2095">
        <v>1</v>
      </c>
      <c r="B221" s="3242" t="s">
        <v>2354</v>
      </c>
      <c r="C221" s="3242"/>
      <c r="D221" s="3242"/>
      <c r="E221" s="3242"/>
      <c r="F221" s="3242"/>
      <c r="G221" s="3242"/>
      <c r="H221" s="3242"/>
      <c r="I221" s="3242"/>
      <c r="J221" s="3242"/>
      <c r="K221" s="3242"/>
      <c r="L221" s="3242"/>
      <c r="M221" s="3242"/>
      <c r="N221" s="3242"/>
      <c r="O221" s="3242"/>
      <c r="P221" s="3242"/>
      <c r="Q221" s="3242"/>
      <c r="R221" s="755"/>
      <c r="S221" s="755"/>
      <c r="T221" s="755"/>
      <c r="U221" s="755"/>
      <c r="V221" s="755"/>
      <c r="W221" s="755"/>
      <c r="X221" s="755"/>
      <c r="Y221" s="755"/>
      <c r="Z221" s="755"/>
      <c r="AA221" s="755"/>
      <c r="AB221" s="755"/>
      <c r="AC221" s="755"/>
      <c r="AD221" s="2075"/>
      <c r="AE221" s="2075"/>
      <c r="AF221" s="2075"/>
      <c r="AG221" s="2075"/>
      <c r="AH221" s="2075"/>
      <c r="AI221" s="2075"/>
      <c r="AJ221" s="2075"/>
      <c r="AK221" s="2075"/>
      <c r="AL221" s="2075"/>
      <c r="AM221" s="2075"/>
      <c r="AN221" s="2075"/>
      <c r="AO221" s="2075"/>
      <c r="AP221" s="2075"/>
      <c r="AQ221" s="2075"/>
      <c r="AR221" s="2075"/>
      <c r="AS221" s="2075"/>
      <c r="AT221" s="2075"/>
      <c r="AU221" s="2075"/>
      <c r="AV221" s="2076"/>
      <c r="AW221" s="2076"/>
      <c r="AX221" s="2076"/>
      <c r="AY221" s="2076"/>
      <c r="AZ221" s="2076"/>
      <c r="BA221" s="2076"/>
      <c r="BB221" s="2076"/>
      <c r="BC221" s="2076"/>
      <c r="BD221" s="2076"/>
      <c r="BE221" s="2076"/>
      <c r="BF221" s="2076"/>
      <c r="BG221" s="2076"/>
      <c r="BH221" s="2076"/>
      <c r="BI221" s="2076"/>
      <c r="BJ221" s="2076"/>
      <c r="BK221" s="2076"/>
      <c r="BL221" s="2076"/>
      <c r="BM221" s="2076"/>
      <c r="BN221" s="2076"/>
      <c r="BO221" s="2076"/>
      <c r="BP221" s="2076"/>
      <c r="BQ221" s="2076"/>
      <c r="BR221" s="2076"/>
      <c r="BS221" s="2076"/>
      <c r="BT221" s="2076"/>
      <c r="BU221" s="2076"/>
      <c r="BV221" s="2076"/>
      <c r="BW221" s="2076"/>
      <c r="BX221" s="2076"/>
      <c r="BY221" s="2076"/>
      <c r="BZ221" s="2076"/>
      <c r="CA221" s="2076"/>
      <c r="CB221" s="2076"/>
      <c r="CC221" s="2076"/>
      <c r="CD221" s="2076"/>
      <c r="CE221" s="2076"/>
      <c r="CF221" s="2076"/>
      <c r="CG221" s="2076"/>
      <c r="CH221" s="2076"/>
      <c r="CI221" s="2076"/>
      <c r="CJ221" s="2076"/>
      <c r="CK221" s="2076"/>
      <c r="CL221" s="2076"/>
      <c r="CM221" s="2076"/>
      <c r="CN221" s="2076"/>
      <c r="CO221" s="2076"/>
      <c r="CP221" s="2076"/>
      <c r="CQ221" s="2076"/>
      <c r="CR221" s="2076"/>
      <c r="CS221" s="2076"/>
      <c r="CT221" s="2076"/>
      <c r="CU221" s="2076"/>
      <c r="CV221" s="2076"/>
      <c r="CW221" s="2076"/>
      <c r="CX221" s="2076"/>
      <c r="CY221" s="2076"/>
      <c r="CZ221" s="2076"/>
      <c r="DA221" s="2076"/>
      <c r="DB221" s="2076"/>
      <c r="DC221" s="2076"/>
      <c r="DD221" s="2076"/>
      <c r="DE221" s="2076"/>
      <c r="DF221" s="2076"/>
      <c r="DG221" s="2076"/>
      <c r="DH221" s="2076"/>
      <c r="DI221" s="2076"/>
      <c r="DJ221" s="2076"/>
      <c r="DK221" s="2076"/>
      <c r="DL221" s="2076"/>
      <c r="DM221" s="2076"/>
      <c r="DN221" s="2076"/>
      <c r="DO221" s="2076"/>
      <c r="DP221" s="2076"/>
      <c r="DQ221" s="2076"/>
      <c r="DR221" s="2076"/>
      <c r="DS221" s="2076"/>
      <c r="DT221" s="2076"/>
      <c r="DU221" s="2076"/>
      <c r="DV221" s="2076"/>
      <c r="DW221" s="2076"/>
      <c r="DX221" s="2076"/>
      <c r="DY221" s="2076"/>
      <c r="DZ221" s="2076"/>
      <c r="EA221" s="2076"/>
      <c r="EB221" s="2076"/>
      <c r="EC221" s="2076"/>
      <c r="ED221" s="2076"/>
      <c r="EE221" s="2076"/>
      <c r="EF221" s="2076"/>
      <c r="EG221" s="2076"/>
      <c r="EH221" s="2076"/>
      <c r="EI221" s="2076"/>
      <c r="EJ221" s="2076"/>
      <c r="EK221" s="2076"/>
      <c r="EL221" s="2076"/>
      <c r="EM221" s="2076"/>
      <c r="EN221" s="2076"/>
      <c r="EO221" s="2076"/>
      <c r="EP221" s="2076"/>
      <c r="EQ221" s="2076"/>
      <c r="ER221" s="2076"/>
      <c r="ES221" s="2076"/>
      <c r="ET221" s="2076"/>
      <c r="EU221" s="2076"/>
      <c r="EV221" s="2076"/>
      <c r="EW221" s="2076"/>
      <c r="EX221" s="2076"/>
      <c r="EY221" s="2076"/>
      <c r="EZ221" s="2076"/>
      <c r="FA221" s="2076"/>
      <c r="FB221" s="2076"/>
      <c r="FC221" s="2076"/>
      <c r="FD221" s="2076"/>
      <c r="FE221" s="2076"/>
      <c r="FF221" s="2076"/>
      <c r="FG221" s="2076"/>
      <c r="FH221" s="2076"/>
      <c r="FI221" s="2076"/>
      <c r="FJ221" s="2076"/>
      <c r="FK221" s="2076"/>
      <c r="FL221" s="2076"/>
      <c r="FM221" s="2076"/>
      <c r="FN221" s="2076"/>
      <c r="FO221" s="2076"/>
      <c r="FP221" s="2076"/>
      <c r="FQ221" s="2076"/>
      <c r="FR221" s="2076"/>
      <c r="FS221" s="2076"/>
      <c r="FT221" s="2076"/>
      <c r="FU221" s="2076"/>
      <c r="FV221" s="2076"/>
      <c r="FW221" s="2076"/>
      <c r="FX221" s="2076"/>
      <c r="FY221" s="2076"/>
      <c r="FZ221" s="2076"/>
      <c r="GA221" s="2076"/>
      <c r="GB221" s="2076"/>
      <c r="GC221" s="2076"/>
      <c r="GD221" s="2076"/>
      <c r="GE221" s="2076"/>
      <c r="GF221" s="2076"/>
      <c r="GG221" s="2076"/>
      <c r="GH221" s="2076"/>
      <c r="GI221" s="2076"/>
      <c r="GJ221" s="2076"/>
      <c r="GK221" s="2076"/>
      <c r="GL221" s="2076"/>
      <c r="GM221" s="2076"/>
      <c r="GN221" s="2076"/>
      <c r="GO221" s="2076"/>
      <c r="GP221" s="2076"/>
      <c r="GQ221" s="2076"/>
      <c r="GR221" s="2076"/>
      <c r="GS221" s="2076"/>
      <c r="GT221" s="2076"/>
      <c r="GU221" s="2076"/>
      <c r="GV221" s="2076"/>
      <c r="GW221" s="2076"/>
      <c r="GX221" s="2076"/>
      <c r="GY221" s="2076"/>
      <c r="GZ221" s="2076"/>
      <c r="HA221" s="2076"/>
      <c r="HB221" s="2076"/>
      <c r="HC221" s="2076"/>
      <c r="HD221" s="2076"/>
      <c r="HE221" s="2076"/>
      <c r="HF221" s="2076"/>
      <c r="HG221" s="2076"/>
      <c r="HH221" s="2076"/>
      <c r="HI221" s="2076"/>
      <c r="HJ221" s="2076"/>
      <c r="HK221" s="2076"/>
      <c r="HL221" s="2076"/>
      <c r="HM221" s="2076"/>
      <c r="HN221" s="2076"/>
      <c r="HO221" s="2076"/>
      <c r="HP221" s="2076"/>
      <c r="HQ221" s="2076"/>
      <c r="HR221" s="2076"/>
      <c r="HS221" s="2076"/>
      <c r="HT221" s="2076"/>
      <c r="HU221" s="2076"/>
      <c r="HV221" s="2076"/>
      <c r="HW221" s="2076"/>
      <c r="HX221" s="2076"/>
      <c r="HY221" s="2076"/>
      <c r="HZ221" s="2076"/>
      <c r="IA221" s="2076"/>
      <c r="IB221" s="2076"/>
      <c r="IC221" s="2076"/>
      <c r="ID221" s="2076"/>
      <c r="IE221" s="2076"/>
      <c r="IF221" s="2076"/>
      <c r="IG221" s="2076"/>
      <c r="IH221" s="2076"/>
      <c r="II221" s="2076"/>
      <c r="IJ221" s="2076"/>
      <c r="IK221" s="2076"/>
      <c r="IL221" s="2076"/>
      <c r="IM221" s="2076"/>
      <c r="IN221" s="2076"/>
      <c r="IO221" s="2076"/>
      <c r="IP221" s="2076"/>
      <c r="IQ221" s="2076"/>
      <c r="IR221" s="2076"/>
      <c r="IS221" s="2076"/>
      <c r="IT221" s="2076"/>
      <c r="IU221" s="2076"/>
      <c r="IV221" s="2076"/>
      <c r="IW221" s="2076"/>
      <c r="IX221" s="2076"/>
      <c r="IY221" s="2076"/>
      <c r="IZ221" s="2076"/>
      <c r="JA221" s="2076"/>
      <c r="JB221" s="2076"/>
      <c r="JC221" s="2076"/>
      <c r="JD221" s="2076"/>
      <c r="JE221" s="2076"/>
      <c r="JF221" s="2076"/>
      <c r="JG221" s="2076"/>
      <c r="JH221" s="2076"/>
      <c r="JI221" s="2076"/>
      <c r="JJ221" s="2076"/>
      <c r="JK221" s="2076"/>
      <c r="JL221" s="2076"/>
      <c r="JM221" s="2076"/>
      <c r="JN221" s="2076"/>
      <c r="JO221" s="2076"/>
      <c r="JP221" s="2076"/>
      <c r="JQ221" s="2076"/>
      <c r="JR221" s="2076"/>
      <c r="JS221" s="2076"/>
      <c r="JT221" s="2076"/>
      <c r="JU221" s="2076"/>
      <c r="JV221" s="2076"/>
      <c r="JW221" s="2076"/>
      <c r="JX221" s="2076"/>
      <c r="JY221" s="2076"/>
      <c r="JZ221" s="2076"/>
      <c r="KA221" s="2076"/>
      <c r="KB221" s="2076"/>
      <c r="KC221" s="2076"/>
      <c r="KD221" s="2076"/>
      <c r="KE221" s="2076"/>
      <c r="KF221" s="2076"/>
      <c r="KG221" s="2076"/>
      <c r="KH221" s="2076"/>
      <c r="KI221" s="2076"/>
      <c r="KJ221" s="2076"/>
      <c r="KK221" s="2076"/>
      <c r="KL221" s="2076"/>
      <c r="KM221" s="2076"/>
      <c r="KN221" s="2076"/>
      <c r="KO221" s="2076"/>
      <c r="KP221" s="2076"/>
      <c r="KQ221" s="2076"/>
      <c r="KR221" s="2076"/>
      <c r="KS221" s="2076"/>
      <c r="KT221" s="2076"/>
      <c r="KU221" s="2076"/>
      <c r="KV221" s="2076"/>
      <c r="KW221" s="2076"/>
      <c r="KX221" s="2076"/>
      <c r="KY221" s="2076"/>
      <c r="KZ221" s="2076"/>
      <c r="LA221" s="2076"/>
      <c r="LB221" s="2076"/>
      <c r="LC221" s="2076"/>
      <c r="LD221" s="2076"/>
      <c r="LE221" s="2076"/>
      <c r="LF221" s="2076"/>
      <c r="LG221" s="2076"/>
      <c r="LH221" s="2076"/>
      <c r="LI221" s="2076"/>
      <c r="LJ221" s="2076"/>
      <c r="LK221" s="2076"/>
      <c r="LL221" s="2076"/>
      <c r="LM221" s="2076"/>
      <c r="LN221" s="2076"/>
      <c r="LO221" s="2076"/>
      <c r="LP221" s="2076"/>
      <c r="LQ221" s="2076"/>
      <c r="LR221" s="2076"/>
      <c r="LS221" s="2076"/>
      <c r="LT221" s="2076"/>
      <c r="LU221" s="2076"/>
      <c r="LV221" s="2076"/>
      <c r="LW221" s="2076"/>
      <c r="LX221" s="2076"/>
      <c r="LY221" s="2076"/>
      <c r="LZ221" s="2076"/>
      <c r="MA221" s="2076"/>
      <c r="MB221" s="2076"/>
      <c r="MC221" s="2076"/>
      <c r="MD221" s="2076"/>
      <c r="ME221" s="2076"/>
      <c r="MF221" s="2076"/>
      <c r="MG221" s="2076"/>
      <c r="MH221" s="2076"/>
      <c r="MI221" s="2076"/>
      <c r="MJ221" s="2076"/>
      <c r="MK221" s="2076"/>
      <c r="ML221" s="2076"/>
      <c r="MM221" s="2076"/>
      <c r="MN221" s="2076"/>
      <c r="MO221" s="2076"/>
      <c r="MP221" s="2076"/>
      <c r="MQ221" s="2076"/>
      <c r="MR221" s="2076"/>
      <c r="MS221" s="2076"/>
      <c r="MT221" s="2076"/>
      <c r="MU221" s="2076"/>
      <c r="MV221" s="2076"/>
      <c r="MW221" s="2076"/>
      <c r="MX221" s="2076"/>
      <c r="MY221" s="2076"/>
      <c r="MZ221" s="2076"/>
      <c r="NA221" s="2076"/>
      <c r="NB221" s="2076"/>
      <c r="NC221" s="2076"/>
      <c r="ND221" s="2076"/>
      <c r="NE221" s="2076"/>
      <c r="NF221" s="2076"/>
      <c r="NG221" s="2076"/>
      <c r="NH221" s="2076"/>
      <c r="NI221" s="2076"/>
      <c r="NJ221" s="2076"/>
      <c r="NK221" s="2076"/>
      <c r="NL221" s="2076"/>
      <c r="NM221" s="2076"/>
      <c r="NN221" s="2076"/>
      <c r="NO221" s="2076"/>
      <c r="NP221" s="2076"/>
      <c r="NQ221" s="2076"/>
      <c r="NR221" s="2076"/>
      <c r="NS221" s="2076"/>
      <c r="NT221" s="2076"/>
      <c r="NU221" s="2076"/>
      <c r="NV221" s="2076"/>
      <c r="NW221" s="2076"/>
      <c r="NX221" s="2076"/>
      <c r="NY221" s="2076"/>
      <c r="NZ221" s="2076"/>
      <c r="OA221" s="2076"/>
      <c r="OB221" s="2076"/>
      <c r="OC221" s="2076"/>
      <c r="OD221" s="2076"/>
      <c r="OE221" s="2076"/>
      <c r="OF221" s="2076"/>
      <c r="OG221" s="2076"/>
      <c r="OH221" s="2076"/>
      <c r="OI221" s="2076"/>
      <c r="OJ221" s="2076"/>
      <c r="OK221" s="2076"/>
      <c r="OL221" s="2076"/>
      <c r="OM221" s="2076"/>
      <c r="ON221" s="2076"/>
      <c r="OO221" s="2076"/>
      <c r="OP221" s="2076"/>
      <c r="OQ221" s="2076"/>
      <c r="OR221" s="2076"/>
      <c r="OS221" s="2076"/>
      <c r="OT221" s="2076"/>
      <c r="OU221" s="2076"/>
      <c r="OV221" s="2076"/>
      <c r="OW221" s="2076"/>
      <c r="OX221" s="2076"/>
      <c r="OY221" s="2076"/>
      <c r="OZ221" s="2076"/>
      <c r="PA221" s="2076"/>
      <c r="PB221" s="2076"/>
      <c r="PC221" s="2076"/>
      <c r="PD221" s="2076"/>
      <c r="PE221" s="2076"/>
      <c r="PF221" s="2076"/>
      <c r="PG221" s="2076"/>
      <c r="PH221" s="2076"/>
      <c r="PI221" s="2076"/>
      <c r="PJ221" s="2076"/>
      <c r="PK221" s="2076"/>
      <c r="PL221" s="2076"/>
      <c r="PM221" s="2076"/>
      <c r="PN221" s="2076"/>
      <c r="PO221" s="2076"/>
      <c r="PP221" s="2076"/>
      <c r="PQ221" s="2076"/>
      <c r="PR221" s="2076"/>
      <c r="PS221" s="2076"/>
      <c r="PT221" s="2076"/>
      <c r="PU221" s="2076"/>
      <c r="PV221" s="2076"/>
      <c r="PW221" s="2076"/>
      <c r="PX221" s="2076"/>
      <c r="PY221" s="2076"/>
      <c r="PZ221" s="2076"/>
      <c r="QA221" s="2076"/>
      <c r="QB221" s="2076"/>
      <c r="QC221" s="2076"/>
      <c r="QD221" s="2076"/>
      <c r="QE221" s="2076"/>
      <c r="QF221" s="2076"/>
      <c r="QG221" s="2076"/>
      <c r="QH221" s="2076"/>
      <c r="QI221" s="2076"/>
      <c r="QJ221" s="2076"/>
      <c r="QK221" s="2076"/>
      <c r="QL221" s="2076"/>
      <c r="QM221" s="2076"/>
      <c r="QN221" s="2076"/>
      <c r="QO221" s="2076"/>
      <c r="QP221" s="2076"/>
      <c r="QQ221" s="2076"/>
      <c r="QR221" s="2076"/>
      <c r="QS221" s="2076"/>
      <c r="QT221" s="2076"/>
      <c r="QU221" s="2076"/>
      <c r="QV221" s="2076"/>
      <c r="QW221" s="2076"/>
      <c r="QX221" s="2076"/>
      <c r="QY221" s="2076"/>
      <c r="QZ221" s="2076"/>
      <c r="RA221" s="2076"/>
      <c r="RB221" s="2076"/>
      <c r="RC221" s="2076"/>
      <c r="RD221" s="2076"/>
      <c r="RE221" s="2076"/>
      <c r="RF221" s="2076"/>
      <c r="RG221" s="2076"/>
      <c r="RH221" s="2076"/>
      <c r="RI221" s="2076"/>
      <c r="RJ221" s="2076"/>
      <c r="RK221" s="2076"/>
      <c r="RL221" s="2076"/>
      <c r="RM221" s="2076"/>
      <c r="RN221" s="2076"/>
      <c r="RO221" s="2076"/>
      <c r="RP221" s="2076"/>
      <c r="RQ221" s="2076"/>
      <c r="RR221" s="2076"/>
      <c r="RS221" s="2076"/>
      <c r="RT221" s="2076"/>
      <c r="RU221" s="2076"/>
      <c r="RV221" s="2076"/>
      <c r="RW221" s="2076"/>
      <c r="RX221" s="2076"/>
      <c r="RY221" s="2076"/>
      <c r="RZ221" s="2076"/>
      <c r="SA221" s="2076"/>
      <c r="SB221" s="2076"/>
      <c r="SC221" s="2076"/>
      <c r="SD221" s="2076"/>
      <c r="SE221" s="2076"/>
      <c r="SF221" s="2076"/>
      <c r="SG221" s="2076"/>
      <c r="SH221" s="2076"/>
      <c r="SI221" s="2076"/>
      <c r="SJ221" s="2076"/>
      <c r="SK221" s="2076"/>
      <c r="SL221" s="2076"/>
      <c r="SM221" s="2076"/>
      <c r="SN221" s="2076"/>
      <c r="SO221" s="2076"/>
      <c r="SP221" s="2076"/>
      <c r="SQ221" s="2076"/>
      <c r="SR221" s="2076"/>
      <c r="SS221" s="2076"/>
      <c r="ST221" s="2076"/>
      <c r="SU221" s="2076"/>
      <c r="SV221" s="2076"/>
      <c r="SW221" s="2076"/>
      <c r="SX221" s="2076"/>
      <c r="SY221" s="2076"/>
      <c r="SZ221" s="2076"/>
      <c r="TA221" s="2076"/>
      <c r="TB221" s="2076"/>
      <c r="TC221" s="2076"/>
      <c r="TD221" s="2076"/>
      <c r="TE221" s="2076"/>
      <c r="TF221" s="2076"/>
      <c r="TG221" s="2076"/>
      <c r="TH221" s="2076"/>
      <c r="TI221" s="2076"/>
      <c r="TJ221" s="2076"/>
      <c r="TK221" s="2076"/>
      <c r="TL221" s="2076"/>
      <c r="TM221" s="2076"/>
      <c r="TN221" s="2076"/>
      <c r="TO221" s="2076"/>
      <c r="TP221" s="2076"/>
      <c r="TQ221" s="2076"/>
      <c r="TR221" s="2076"/>
      <c r="TS221" s="2076"/>
      <c r="TT221" s="2076"/>
      <c r="TU221" s="2076"/>
      <c r="TV221" s="2076"/>
      <c r="TW221" s="2076"/>
      <c r="TX221" s="2076"/>
      <c r="TY221" s="2076"/>
      <c r="TZ221" s="2076"/>
      <c r="UA221" s="2076"/>
      <c r="UB221" s="2076"/>
      <c r="UC221" s="2076"/>
      <c r="UD221" s="2076"/>
      <c r="UE221" s="2076"/>
      <c r="UF221" s="2076"/>
      <c r="UG221" s="2076"/>
      <c r="UH221" s="2076"/>
      <c r="UI221" s="2076"/>
      <c r="UJ221" s="2076"/>
      <c r="UK221" s="2076"/>
      <c r="UL221" s="2076"/>
      <c r="UM221" s="2076"/>
      <c r="UN221" s="2076"/>
      <c r="UO221" s="2076"/>
      <c r="UP221" s="2076"/>
      <c r="UQ221" s="2076"/>
      <c r="UR221" s="2076"/>
      <c r="US221" s="2076"/>
      <c r="UT221" s="2076"/>
      <c r="UU221" s="2076"/>
      <c r="UV221" s="2076"/>
      <c r="UW221" s="2076"/>
      <c r="UX221" s="2076"/>
      <c r="UY221" s="2076"/>
      <c r="UZ221" s="2076"/>
      <c r="VA221" s="2076"/>
      <c r="VB221" s="2076"/>
      <c r="VC221" s="2076"/>
      <c r="VD221" s="2076"/>
      <c r="VE221" s="2076"/>
      <c r="VF221" s="2076"/>
      <c r="VG221" s="2076"/>
      <c r="VH221" s="2076"/>
      <c r="VI221" s="2076"/>
      <c r="VJ221" s="2076"/>
      <c r="VK221" s="2076"/>
      <c r="VL221" s="2076"/>
      <c r="VM221" s="2076"/>
      <c r="VN221" s="2076"/>
      <c r="VO221" s="2076"/>
      <c r="VP221" s="2076"/>
      <c r="VQ221" s="2076"/>
      <c r="VR221" s="2076"/>
      <c r="VS221" s="2076"/>
      <c r="VT221" s="2076"/>
      <c r="VU221" s="2076"/>
      <c r="VV221" s="2076"/>
      <c r="VW221" s="2076"/>
      <c r="VX221" s="2076"/>
      <c r="VY221" s="2076"/>
      <c r="VZ221" s="2076"/>
      <c r="WA221" s="2076"/>
      <c r="WB221" s="2076"/>
      <c r="WC221" s="2076"/>
      <c r="WD221" s="2076"/>
      <c r="WE221" s="2076"/>
      <c r="WF221" s="2076"/>
      <c r="WG221" s="2076"/>
      <c r="WH221" s="2076"/>
      <c r="WI221" s="2076"/>
      <c r="WJ221" s="2076"/>
      <c r="WK221" s="2076"/>
      <c r="WL221" s="2076"/>
      <c r="WM221" s="2076"/>
      <c r="WN221" s="2076"/>
      <c r="WO221" s="2076"/>
      <c r="WP221" s="2076"/>
      <c r="WQ221" s="2076"/>
      <c r="WR221" s="2076"/>
      <c r="WS221" s="2076"/>
      <c r="WT221" s="2076"/>
      <c r="WU221" s="2076"/>
      <c r="WV221" s="2076"/>
      <c r="WW221" s="2076"/>
      <c r="WX221" s="2076"/>
      <c r="WY221" s="2076"/>
      <c r="WZ221" s="2076"/>
      <c r="XA221" s="2076"/>
      <c r="XB221" s="2076"/>
      <c r="XC221" s="2076"/>
      <c r="XD221" s="2076"/>
      <c r="XE221" s="2076"/>
      <c r="XF221" s="2076"/>
      <c r="XG221" s="2076"/>
      <c r="XH221" s="2076"/>
      <c r="XI221" s="2076"/>
      <c r="XJ221" s="2076"/>
      <c r="XK221" s="2076"/>
      <c r="XL221" s="2076"/>
      <c r="XM221" s="2076"/>
      <c r="XN221" s="2076"/>
      <c r="XO221" s="2076"/>
      <c r="XP221" s="2076"/>
      <c r="XQ221" s="2076"/>
      <c r="XR221" s="2076"/>
      <c r="XS221" s="2076"/>
      <c r="XT221" s="2076"/>
      <c r="XU221" s="2076"/>
      <c r="XV221" s="2076"/>
      <c r="XW221" s="2076"/>
      <c r="XX221" s="2076"/>
      <c r="XY221" s="2076"/>
      <c r="XZ221" s="2076"/>
      <c r="YA221" s="2076"/>
      <c r="YB221" s="2076"/>
      <c r="YC221" s="2076"/>
      <c r="YD221" s="2076"/>
      <c r="YE221" s="2076"/>
      <c r="YF221" s="2076"/>
      <c r="YG221" s="2076"/>
      <c r="YH221" s="2076"/>
      <c r="YI221" s="2076"/>
      <c r="YJ221" s="2076"/>
      <c r="YK221" s="2076"/>
      <c r="YL221" s="2076"/>
      <c r="YM221" s="2076"/>
      <c r="YN221" s="2076"/>
      <c r="YO221" s="2076"/>
      <c r="YP221" s="2076"/>
      <c r="YQ221" s="2076"/>
      <c r="YR221" s="2076"/>
      <c r="YS221" s="2076"/>
      <c r="YT221" s="2076"/>
      <c r="YU221" s="2076"/>
      <c r="YV221" s="2076"/>
      <c r="YW221" s="2076"/>
      <c r="YX221" s="2076"/>
      <c r="YY221" s="2076"/>
      <c r="YZ221" s="2076"/>
      <c r="ZA221" s="2076"/>
      <c r="ZB221" s="2076"/>
      <c r="ZC221" s="2076"/>
      <c r="ZD221" s="2076"/>
      <c r="ZE221" s="2076"/>
      <c r="ZF221" s="2076"/>
      <c r="ZG221" s="2076"/>
      <c r="ZH221" s="2076"/>
      <c r="ZI221" s="2076"/>
      <c r="ZJ221" s="2076"/>
      <c r="ZK221" s="2076"/>
      <c r="ZL221" s="2076"/>
      <c r="ZM221" s="2076"/>
      <c r="ZN221" s="2076"/>
      <c r="ZO221" s="2076"/>
      <c r="ZP221" s="2076"/>
      <c r="ZQ221" s="2076"/>
      <c r="ZR221" s="2076"/>
      <c r="ZS221" s="2076"/>
      <c r="ZT221" s="2076"/>
      <c r="ZU221" s="2076"/>
      <c r="ZV221" s="2076"/>
      <c r="ZW221" s="2076"/>
      <c r="ZX221" s="2076"/>
      <c r="ZY221" s="2076"/>
      <c r="ZZ221" s="2076"/>
      <c r="AAA221" s="2076"/>
      <c r="AAB221" s="2076"/>
      <c r="AAC221" s="2076"/>
      <c r="AAD221" s="2076"/>
      <c r="AAE221" s="2076"/>
      <c r="AAF221" s="2076"/>
      <c r="AAG221" s="2076"/>
      <c r="AAH221" s="2076"/>
      <c r="AAI221" s="2076"/>
      <c r="AAJ221" s="2076"/>
      <c r="AAK221" s="2076"/>
      <c r="AAL221" s="2076"/>
      <c r="AAM221" s="2076"/>
      <c r="AAN221" s="2076"/>
      <c r="AAO221" s="2076"/>
      <c r="AAP221" s="2076"/>
      <c r="AAQ221" s="2076"/>
      <c r="AAR221" s="2076"/>
      <c r="AAS221" s="2076"/>
      <c r="AAT221" s="2076"/>
      <c r="AAU221" s="2076"/>
      <c r="AAV221" s="2076"/>
      <c r="AAW221" s="2076"/>
      <c r="AAX221" s="2076"/>
      <c r="AAY221" s="2076"/>
      <c r="AAZ221" s="2076"/>
      <c r="ABA221" s="2076"/>
      <c r="ABB221" s="2076"/>
      <c r="ABC221" s="2076"/>
      <c r="ABD221" s="2076"/>
      <c r="ABE221" s="2076"/>
      <c r="ABF221" s="2076"/>
      <c r="ABG221" s="2076"/>
      <c r="ABH221" s="2076"/>
      <c r="ABI221" s="2076"/>
      <c r="ABJ221" s="2076"/>
      <c r="ABK221" s="2076"/>
      <c r="ABL221" s="2076"/>
      <c r="ABM221" s="2076"/>
      <c r="ABN221" s="2076"/>
      <c r="ABO221" s="2076"/>
      <c r="ABP221" s="2076"/>
      <c r="ABQ221" s="2076"/>
      <c r="ABR221" s="2076"/>
      <c r="ABS221" s="2076"/>
      <c r="ABT221" s="2076"/>
      <c r="ABU221" s="2076"/>
      <c r="ABV221" s="2076"/>
      <c r="ABW221" s="2076"/>
      <c r="ABX221" s="2076"/>
      <c r="ABY221" s="2076"/>
      <c r="ABZ221" s="2076"/>
      <c r="ACA221" s="2076"/>
      <c r="ACB221" s="2076"/>
      <c r="ACC221" s="2076"/>
      <c r="ACD221" s="2076"/>
      <c r="ACE221" s="2076"/>
      <c r="ACF221" s="2076"/>
      <c r="ACG221" s="2076"/>
      <c r="ACH221" s="2076"/>
      <c r="ACI221" s="2076"/>
      <c r="ACJ221" s="2076"/>
      <c r="ACK221" s="2076"/>
      <c r="ACL221" s="2076"/>
      <c r="ACM221" s="2076"/>
      <c r="ACN221" s="2076"/>
      <c r="ACO221" s="2076"/>
      <c r="ACP221" s="2076"/>
      <c r="ACQ221" s="2076"/>
      <c r="ACR221" s="2076"/>
      <c r="ACS221" s="2076"/>
      <c r="ACT221" s="2076"/>
      <c r="ACU221" s="2076"/>
      <c r="ACV221" s="2076"/>
      <c r="ACW221" s="2076"/>
      <c r="ACX221" s="2076"/>
      <c r="ACY221" s="2076"/>
      <c r="ACZ221" s="2076"/>
      <c r="ADA221" s="2076"/>
      <c r="ADB221" s="2076"/>
      <c r="ADC221" s="2076"/>
      <c r="ADD221" s="2076"/>
      <c r="ADE221" s="2076"/>
      <c r="ADF221" s="2076"/>
      <c r="ADG221" s="2076"/>
      <c r="ADH221" s="2076"/>
      <c r="ADI221" s="2076"/>
      <c r="ADJ221" s="2076"/>
      <c r="ADK221" s="2076"/>
      <c r="ADL221" s="2076"/>
      <c r="ADM221" s="2076"/>
      <c r="ADN221" s="2076"/>
      <c r="ADO221" s="2076"/>
      <c r="ADP221" s="2076"/>
      <c r="ADQ221" s="2076"/>
      <c r="ADR221" s="2076"/>
      <c r="ADS221" s="2076"/>
      <c r="ADT221" s="2076"/>
      <c r="ADU221" s="2076"/>
      <c r="ADV221" s="2076"/>
      <c r="ADW221" s="2076"/>
      <c r="ADX221" s="2076"/>
      <c r="ADY221" s="2076"/>
      <c r="ADZ221" s="2076"/>
      <c r="AEA221" s="2076"/>
      <c r="AEB221" s="2076"/>
      <c r="AEC221" s="2076"/>
      <c r="AED221" s="2076"/>
      <c r="AEE221" s="2076"/>
      <c r="AEF221" s="2076"/>
      <c r="AEG221" s="2076"/>
      <c r="AEH221" s="2076"/>
      <c r="AEI221" s="2076"/>
      <c r="AEJ221" s="2076"/>
      <c r="AEK221" s="2076"/>
      <c r="AEL221" s="2076"/>
      <c r="AEM221" s="2076"/>
      <c r="AEN221" s="2076"/>
      <c r="AEO221" s="2076"/>
      <c r="AEP221" s="2076"/>
      <c r="AEQ221" s="2076"/>
      <c r="AER221" s="2076"/>
      <c r="AES221" s="2076"/>
      <c r="AET221" s="2076"/>
      <c r="AEU221" s="2076"/>
      <c r="AEV221" s="2076"/>
      <c r="AEW221" s="2076"/>
      <c r="AEX221" s="2076"/>
      <c r="AEY221" s="2076"/>
      <c r="AEZ221" s="2076"/>
      <c r="AFA221" s="2076"/>
      <c r="AFB221" s="2076"/>
      <c r="AFC221" s="2076"/>
      <c r="AFD221" s="2076"/>
      <c r="AFE221" s="2076"/>
      <c r="AFF221" s="2076"/>
      <c r="AFG221" s="2076"/>
      <c r="AFH221" s="2076"/>
      <c r="AFI221" s="2076"/>
      <c r="AFJ221" s="2076"/>
      <c r="AFK221" s="2076"/>
      <c r="AFL221" s="2076"/>
      <c r="AFM221" s="2076"/>
      <c r="AFN221" s="2076"/>
      <c r="AFO221" s="2076"/>
      <c r="AFP221" s="2076"/>
      <c r="AFQ221" s="2076"/>
      <c r="AFR221" s="2076"/>
      <c r="AFS221" s="2076"/>
      <c r="AFT221" s="2076"/>
      <c r="AFU221" s="2076"/>
      <c r="AFV221" s="2076"/>
      <c r="AFW221" s="2076"/>
      <c r="AFX221" s="2076"/>
      <c r="AFY221" s="2076"/>
      <c r="AFZ221" s="2076"/>
      <c r="AGA221" s="2076"/>
      <c r="AGB221" s="2076"/>
      <c r="AGC221" s="2076"/>
      <c r="AGD221" s="2076"/>
      <c r="AGE221" s="2076"/>
      <c r="AGF221" s="2076"/>
      <c r="AGG221" s="2076"/>
      <c r="AGH221" s="2076"/>
      <c r="AGI221" s="2076"/>
      <c r="AGJ221" s="2076"/>
      <c r="AGK221" s="2076"/>
      <c r="AGL221" s="2076"/>
      <c r="AGM221" s="2076"/>
      <c r="AGN221" s="2076"/>
      <c r="AGO221" s="2076"/>
      <c r="AGP221" s="2076"/>
      <c r="AGQ221" s="2076"/>
      <c r="AGR221" s="2076"/>
      <c r="AGS221" s="2076"/>
      <c r="AGT221" s="2076"/>
      <c r="AGU221" s="2076"/>
      <c r="AGV221" s="2076"/>
      <c r="AGW221" s="2076"/>
      <c r="AGX221" s="2076"/>
      <c r="AGY221" s="2076"/>
      <c r="AGZ221" s="2076"/>
      <c r="AHA221" s="2076"/>
      <c r="AHB221" s="2076"/>
      <c r="AHC221" s="2076"/>
      <c r="AHD221" s="2076"/>
      <c r="AHE221" s="2076"/>
      <c r="AHF221" s="2076"/>
      <c r="AHG221" s="2076"/>
      <c r="AHH221" s="2076"/>
      <c r="AHI221" s="2076"/>
      <c r="AHJ221" s="2076"/>
      <c r="AHK221" s="2076"/>
      <c r="AHL221" s="2076"/>
      <c r="AHM221" s="2076"/>
      <c r="AHN221" s="2076"/>
      <c r="AHO221" s="2076"/>
      <c r="AHP221" s="2076"/>
      <c r="AHQ221" s="2076"/>
      <c r="AHR221" s="2076"/>
      <c r="AHS221" s="2076"/>
      <c r="AHT221" s="2076"/>
      <c r="AHU221" s="2076"/>
      <c r="AHV221" s="2076"/>
      <c r="AHW221" s="2076"/>
      <c r="AHX221" s="2076"/>
      <c r="AHY221" s="2076"/>
      <c r="AHZ221" s="2076"/>
      <c r="AIA221" s="2076"/>
      <c r="AIB221" s="2076"/>
      <c r="AIC221" s="2076"/>
      <c r="AID221" s="2076"/>
      <c r="AIE221" s="2076"/>
      <c r="AIF221" s="2076"/>
      <c r="AIG221" s="2076"/>
      <c r="AIH221" s="2076"/>
      <c r="AII221" s="2076"/>
      <c r="AIJ221" s="2076"/>
      <c r="AIK221" s="2076"/>
      <c r="AIL221" s="2076"/>
      <c r="AIM221" s="2076"/>
      <c r="AIN221" s="2076"/>
      <c r="AIO221" s="2076"/>
      <c r="AIP221" s="2076"/>
      <c r="AIQ221" s="2076"/>
      <c r="AIR221" s="2076"/>
      <c r="AIS221" s="2076"/>
      <c r="AIT221" s="2076"/>
      <c r="AIU221" s="2076"/>
      <c r="AIV221" s="2076"/>
      <c r="AIW221" s="2076"/>
      <c r="AIX221" s="2076"/>
      <c r="AIY221" s="2076"/>
      <c r="AIZ221" s="2076"/>
      <c r="AJA221" s="2076"/>
      <c r="AJB221" s="2076"/>
      <c r="AJC221" s="2076"/>
      <c r="AJD221" s="2076"/>
      <c r="AJE221" s="2076"/>
      <c r="AJF221" s="2076"/>
      <c r="AJG221" s="2076"/>
      <c r="AJH221" s="2076"/>
      <c r="AJI221" s="2076"/>
      <c r="AJJ221" s="2076"/>
      <c r="AJK221" s="2076"/>
      <c r="AJL221" s="2076"/>
      <c r="AJM221" s="2076"/>
      <c r="AJN221" s="2076"/>
      <c r="AJO221" s="2076"/>
      <c r="AJP221" s="2076"/>
      <c r="AJQ221" s="2076"/>
      <c r="AJR221" s="2076"/>
      <c r="AJS221" s="2076"/>
      <c r="AJT221" s="2076"/>
      <c r="AJU221" s="2076"/>
      <c r="AJV221" s="2076"/>
      <c r="AJW221" s="2076"/>
      <c r="AJX221" s="2076"/>
      <c r="AJY221" s="2076"/>
      <c r="AJZ221" s="2076"/>
      <c r="AKA221" s="2076"/>
      <c r="AKB221" s="2076"/>
      <c r="AKC221" s="2076"/>
      <c r="AKD221" s="2076"/>
      <c r="AKE221" s="2076"/>
      <c r="AKF221" s="2076"/>
      <c r="AKG221" s="2076"/>
      <c r="AKH221" s="2076"/>
      <c r="AKI221" s="2076"/>
      <c r="AKJ221" s="2076"/>
      <c r="AKK221" s="2076"/>
      <c r="AKL221" s="2076"/>
      <c r="AKM221" s="2076"/>
      <c r="AKN221" s="2076"/>
      <c r="AKO221" s="2076"/>
      <c r="AKP221" s="2076"/>
      <c r="AKQ221" s="2076"/>
      <c r="AKR221" s="2076"/>
      <c r="AKS221" s="2076"/>
      <c r="AKT221" s="2076"/>
      <c r="AKU221" s="2076"/>
      <c r="AKV221" s="2076"/>
      <c r="AKW221" s="2076"/>
      <c r="AKX221" s="2076"/>
      <c r="AKY221" s="2076"/>
      <c r="AKZ221" s="2076"/>
      <c r="ALA221" s="2076"/>
      <c r="ALB221" s="2076"/>
      <c r="ALC221" s="2076"/>
      <c r="ALD221" s="2076"/>
      <c r="ALE221" s="2076"/>
      <c r="ALF221" s="2076"/>
      <c r="ALG221" s="2076"/>
      <c r="ALH221" s="2076"/>
      <c r="ALI221" s="2076"/>
      <c r="ALJ221" s="2076"/>
      <c r="ALK221" s="2076"/>
      <c r="ALL221" s="2076"/>
      <c r="ALM221" s="2076"/>
      <c r="ALN221" s="2076"/>
      <c r="ALO221" s="2076"/>
      <c r="ALP221" s="2076"/>
      <c r="ALQ221" s="2076"/>
      <c r="ALR221" s="2076"/>
      <c r="ALS221" s="2076"/>
      <c r="ALT221" s="2076"/>
      <c r="ALU221" s="2076"/>
      <c r="ALV221" s="2076"/>
      <c r="ALW221" s="2076"/>
      <c r="ALX221" s="2076"/>
      <c r="ALY221" s="2076"/>
      <c r="ALZ221" s="2076"/>
      <c r="AMA221" s="2076"/>
      <c r="AMB221" s="2076"/>
      <c r="AMC221" s="2076"/>
      <c r="AMD221" s="2076"/>
      <c r="AME221" s="2076"/>
      <c r="AMF221" s="2076"/>
      <c r="AMG221" s="2076"/>
      <c r="AMH221" s="2076"/>
      <c r="AMI221" s="2076"/>
      <c r="AMJ221" s="2076"/>
      <c r="AMK221" s="2076"/>
      <c r="AML221" s="2076"/>
      <c r="AMM221" s="2076"/>
      <c r="AMN221" s="2076"/>
      <c r="AMO221" s="2076"/>
      <c r="AMP221" s="2076"/>
      <c r="AMQ221" s="2076"/>
      <c r="AMR221" s="2076"/>
      <c r="AMS221" s="2076"/>
      <c r="AMT221" s="2076"/>
      <c r="AMU221" s="2076"/>
      <c r="AMV221" s="2076"/>
      <c r="AMW221" s="2076"/>
      <c r="AMX221" s="2076"/>
      <c r="AMY221" s="2076"/>
      <c r="AMZ221" s="2076"/>
      <c r="ANA221" s="2076"/>
      <c r="ANB221" s="2076"/>
      <c r="ANC221" s="2076"/>
      <c r="AND221" s="2076"/>
      <c r="ANE221" s="2076"/>
      <c r="ANF221" s="2076"/>
      <c r="ANG221" s="2076"/>
      <c r="ANH221" s="2076"/>
      <c r="ANI221" s="2076"/>
      <c r="ANJ221" s="2076"/>
      <c r="ANK221" s="2076"/>
      <c r="ANL221" s="2076"/>
      <c r="ANM221" s="2076"/>
      <c r="ANN221" s="2076"/>
      <c r="ANO221" s="2076"/>
      <c r="ANP221" s="2076"/>
      <c r="ANQ221" s="2076"/>
      <c r="ANR221" s="2076"/>
      <c r="ANS221" s="2076"/>
      <c r="ANT221" s="2076"/>
      <c r="ANU221" s="2076"/>
      <c r="ANV221" s="2076"/>
      <c r="ANW221" s="2076"/>
      <c r="ANX221" s="2076"/>
      <c r="ANY221" s="2076"/>
      <c r="ANZ221" s="2076"/>
      <c r="AOA221" s="2076"/>
      <c r="AOB221" s="2076"/>
      <c r="AOC221" s="2076"/>
      <c r="AOD221" s="2076"/>
      <c r="AOE221" s="2076"/>
      <c r="AOF221" s="2076"/>
      <c r="AOG221" s="2076"/>
      <c r="AOH221" s="2076"/>
      <c r="AOI221" s="2076"/>
      <c r="AOJ221" s="2076"/>
      <c r="AOK221" s="2076"/>
      <c r="AOL221" s="2076"/>
      <c r="AOM221" s="2076"/>
      <c r="AON221" s="2076"/>
      <c r="AOO221" s="2076"/>
      <c r="AOP221" s="2076"/>
      <c r="AOQ221" s="2076"/>
      <c r="AOR221" s="2076"/>
      <c r="AOS221" s="2076"/>
      <c r="AOT221" s="2076"/>
      <c r="AOU221" s="2076"/>
      <c r="AOV221" s="2076"/>
      <c r="AOW221" s="2076"/>
      <c r="AOX221" s="2076"/>
      <c r="AOY221" s="2076"/>
      <c r="AOZ221" s="2076"/>
      <c r="APA221" s="2076"/>
      <c r="APB221" s="2076"/>
      <c r="APC221" s="2076"/>
      <c r="APD221" s="2076"/>
      <c r="APE221" s="2076"/>
      <c r="APF221" s="2076"/>
      <c r="APG221" s="2076"/>
      <c r="APH221" s="2076"/>
      <c r="API221" s="2076"/>
      <c r="APJ221" s="2076"/>
      <c r="APK221" s="2076"/>
      <c r="APL221" s="2076"/>
      <c r="APM221" s="2076"/>
      <c r="APN221" s="2076"/>
      <c r="APO221" s="2076"/>
      <c r="APP221" s="2076"/>
      <c r="APQ221" s="2076"/>
      <c r="APR221" s="2076"/>
      <c r="APS221" s="2076"/>
      <c r="APT221" s="2076"/>
      <c r="APU221" s="2076"/>
      <c r="APV221" s="2076"/>
      <c r="APW221" s="2076"/>
      <c r="APX221" s="2076"/>
      <c r="APY221" s="2076"/>
      <c r="APZ221" s="2076"/>
      <c r="AQA221" s="2076"/>
      <c r="AQB221" s="2076"/>
      <c r="AQC221" s="2076"/>
      <c r="AQD221" s="2076"/>
      <c r="AQE221" s="2076"/>
      <c r="AQF221" s="2076"/>
      <c r="AQG221" s="2076"/>
      <c r="AQH221" s="2076"/>
      <c r="AQI221" s="2076"/>
      <c r="AQJ221" s="2076"/>
      <c r="AQK221" s="2076"/>
      <c r="AQL221" s="2076"/>
      <c r="AQM221" s="2076"/>
      <c r="AQN221" s="2076"/>
      <c r="AQO221" s="2076"/>
      <c r="AQP221" s="2076"/>
      <c r="AQQ221" s="2076"/>
      <c r="AQR221" s="2076"/>
      <c r="AQS221" s="2076"/>
      <c r="AQT221" s="2076"/>
      <c r="AQU221" s="2076"/>
      <c r="AQV221" s="2076"/>
      <c r="AQW221" s="2076"/>
      <c r="AQX221" s="2076"/>
      <c r="AQY221" s="2076"/>
      <c r="AQZ221" s="2076"/>
      <c r="ARA221" s="2076"/>
      <c r="ARB221" s="2076"/>
      <c r="ARC221" s="2076"/>
      <c r="ARD221" s="2076"/>
      <c r="ARE221" s="2076"/>
      <c r="ARF221" s="2076"/>
      <c r="ARG221" s="2076"/>
      <c r="ARH221" s="2076"/>
      <c r="ARI221" s="2076"/>
      <c r="ARJ221" s="2076"/>
      <c r="ARK221" s="2076"/>
      <c r="ARL221" s="2076"/>
      <c r="ARM221" s="2076"/>
      <c r="ARN221" s="2076"/>
      <c r="ARO221" s="2076"/>
      <c r="ARP221" s="2076"/>
      <c r="ARQ221" s="2076"/>
      <c r="ARR221" s="2076"/>
      <c r="ARS221" s="2076"/>
      <c r="ART221" s="2076"/>
      <c r="ARU221" s="2076"/>
      <c r="ARV221" s="2076"/>
      <c r="ARW221" s="2076"/>
      <c r="ARX221" s="2076"/>
      <c r="ARY221" s="2076"/>
      <c r="ARZ221" s="2076"/>
      <c r="ASA221" s="2076"/>
      <c r="ASB221" s="2076"/>
      <c r="ASC221" s="2076"/>
      <c r="ASD221" s="2076"/>
      <c r="ASE221" s="2076"/>
      <c r="ASF221" s="2076"/>
      <c r="ASG221" s="2076"/>
      <c r="ASH221" s="2076"/>
      <c r="ASI221" s="2076"/>
      <c r="ASJ221" s="2076"/>
      <c r="ASK221" s="2076"/>
      <c r="ASL221" s="2076"/>
      <c r="ASM221" s="2076"/>
      <c r="ASN221" s="2076"/>
      <c r="ASO221" s="2076"/>
      <c r="ASP221" s="2076"/>
      <c r="ASQ221" s="2076"/>
      <c r="ASR221" s="2076"/>
      <c r="ASS221" s="2076"/>
      <c r="AST221" s="2076"/>
      <c r="ASU221" s="2076"/>
      <c r="ASV221" s="2076"/>
      <c r="ASW221" s="2076"/>
      <c r="ASX221" s="2076"/>
      <c r="ASY221" s="2076"/>
      <c r="ASZ221" s="2076"/>
      <c r="ATA221" s="2076"/>
      <c r="ATB221" s="2076"/>
      <c r="ATC221" s="2076"/>
      <c r="ATD221" s="2076"/>
      <c r="ATE221" s="2076"/>
      <c r="ATF221" s="2076"/>
      <c r="ATG221" s="2076"/>
      <c r="ATH221" s="2076"/>
      <c r="ATI221" s="2076"/>
      <c r="ATJ221" s="2076"/>
      <c r="ATK221" s="2076"/>
      <c r="ATL221" s="2076"/>
      <c r="ATM221" s="2076"/>
      <c r="ATN221" s="2076"/>
      <c r="ATO221" s="2076"/>
      <c r="ATP221" s="2076"/>
      <c r="ATQ221" s="2076"/>
      <c r="ATR221" s="2076"/>
      <c r="ATS221" s="2076"/>
      <c r="ATT221" s="2076"/>
      <c r="ATU221" s="2076"/>
      <c r="ATV221" s="2076"/>
      <c r="ATW221" s="2076"/>
      <c r="ATX221" s="2076"/>
      <c r="ATY221" s="2076"/>
      <c r="ATZ221" s="2076"/>
      <c r="AUA221" s="2076"/>
      <c r="AUB221" s="2076"/>
      <c r="AUC221" s="2076"/>
      <c r="AUD221" s="2076"/>
      <c r="AUE221" s="2076"/>
      <c r="AUF221" s="2076"/>
      <c r="AUG221" s="2076"/>
      <c r="AUH221" s="2076"/>
      <c r="AUI221" s="2076"/>
      <c r="AUJ221" s="2076"/>
      <c r="AUK221" s="2076"/>
      <c r="AUL221" s="2076"/>
      <c r="AUM221" s="2076"/>
      <c r="AUN221" s="2076"/>
      <c r="AUO221" s="2076"/>
      <c r="AUP221" s="2076"/>
      <c r="AUQ221" s="2076"/>
      <c r="AUR221" s="2076"/>
      <c r="AUS221" s="2076"/>
      <c r="AUT221" s="2076"/>
      <c r="AUU221" s="2076"/>
      <c r="AUV221" s="2076"/>
      <c r="AUW221" s="2076"/>
      <c r="AUX221" s="2076"/>
      <c r="AUY221" s="2076"/>
      <c r="AUZ221" s="2076"/>
      <c r="AVA221" s="2076"/>
      <c r="AVB221" s="2076"/>
      <c r="AVC221" s="2076"/>
      <c r="AVD221" s="2076"/>
      <c r="AVE221" s="2076"/>
      <c r="AVF221" s="2076"/>
      <c r="AVG221" s="2076"/>
      <c r="AVH221" s="2076"/>
      <c r="AVI221" s="2076"/>
      <c r="AVJ221" s="2076"/>
      <c r="AVK221" s="2076"/>
      <c r="AVL221" s="2076"/>
      <c r="AVM221" s="2076"/>
      <c r="AVN221" s="2076"/>
      <c r="AVO221" s="2076"/>
      <c r="AVP221" s="2076"/>
      <c r="AVQ221" s="2076"/>
      <c r="AVR221" s="2076"/>
      <c r="AVS221" s="2076"/>
      <c r="AVT221" s="2076"/>
      <c r="AVU221" s="2076"/>
      <c r="AVV221" s="2076"/>
      <c r="AVW221" s="2076"/>
      <c r="AVX221" s="2076"/>
      <c r="AVY221" s="2076"/>
      <c r="AVZ221" s="2076"/>
      <c r="AWA221" s="2076"/>
      <c r="AWB221" s="2076"/>
      <c r="AWC221" s="2076"/>
      <c r="AWD221" s="2076"/>
      <c r="AWE221" s="2076"/>
      <c r="AWF221" s="2076"/>
      <c r="AWG221" s="2076"/>
      <c r="AWH221" s="2076"/>
      <c r="AWI221" s="2076"/>
      <c r="AWJ221" s="2076"/>
      <c r="AWK221" s="2076"/>
      <c r="AWL221" s="2076"/>
      <c r="AWM221" s="2076"/>
      <c r="AWN221" s="2076"/>
      <c r="AWO221" s="2076"/>
      <c r="AWP221" s="2076"/>
      <c r="AWQ221" s="2076"/>
      <c r="AWR221" s="2076"/>
      <c r="AWS221" s="2076"/>
      <c r="AWT221" s="2076"/>
      <c r="AWU221" s="2076"/>
      <c r="AWV221" s="2076"/>
      <c r="AWW221" s="2076"/>
      <c r="AWX221" s="2076"/>
      <c r="AWY221" s="2076"/>
      <c r="AWZ221" s="2076"/>
      <c r="AXA221" s="2076"/>
      <c r="AXB221" s="2076"/>
      <c r="AXC221" s="2076"/>
      <c r="AXD221" s="2076"/>
      <c r="AXE221" s="2076"/>
      <c r="AXF221" s="2076"/>
      <c r="AXG221" s="2076"/>
      <c r="AXH221" s="2076"/>
      <c r="AXI221" s="2076"/>
      <c r="AXJ221" s="2076"/>
    </row>
    <row r="222" spans="1:1310" s="2077" customFormat="1" ht="23.25" customHeight="1">
      <c r="A222" s="2092"/>
      <c r="B222" s="3243" t="s">
        <v>2355</v>
      </c>
      <c r="C222" s="3243"/>
      <c r="D222" s="3243"/>
      <c r="E222" s="3243"/>
      <c r="F222" s="3243"/>
      <c r="G222" s="3243"/>
      <c r="H222" s="3243"/>
      <c r="I222" s="3243"/>
      <c r="J222" s="3243"/>
      <c r="K222" s="3243"/>
      <c r="L222" s="3243"/>
      <c r="M222" s="3243"/>
      <c r="N222" s="3243"/>
      <c r="O222" s="3243"/>
      <c r="P222" s="3243"/>
      <c r="Q222" s="3243"/>
      <c r="R222" s="755"/>
      <c r="S222" s="755"/>
      <c r="T222" s="755"/>
      <c r="U222" s="755"/>
      <c r="V222" s="755"/>
      <c r="W222" s="755"/>
      <c r="X222" s="755"/>
      <c r="Y222" s="755"/>
      <c r="Z222" s="755"/>
      <c r="AA222" s="755"/>
      <c r="AB222" s="755"/>
      <c r="AC222" s="755"/>
      <c r="AD222" s="2075"/>
      <c r="AE222" s="2075"/>
      <c r="AF222" s="2075"/>
      <c r="AG222" s="2075"/>
      <c r="AH222" s="2075"/>
      <c r="AI222" s="2075"/>
      <c r="AJ222" s="2075"/>
      <c r="AK222" s="2075"/>
      <c r="AL222" s="2075"/>
      <c r="AM222" s="2075"/>
      <c r="AN222" s="2075"/>
      <c r="AO222" s="2075"/>
      <c r="AP222" s="2075"/>
      <c r="AQ222" s="2075"/>
      <c r="AR222" s="2075"/>
      <c r="AS222" s="2075"/>
      <c r="AT222" s="2075"/>
      <c r="AU222" s="2075"/>
      <c r="AV222" s="2076"/>
      <c r="AW222" s="2076"/>
      <c r="AX222" s="2076"/>
      <c r="AY222" s="2076"/>
      <c r="AZ222" s="2076"/>
      <c r="BA222" s="2076"/>
      <c r="BB222" s="2076"/>
      <c r="BC222" s="2076"/>
      <c r="BD222" s="2076"/>
      <c r="BE222" s="2076"/>
      <c r="BF222" s="2076"/>
      <c r="BG222" s="2076"/>
      <c r="BH222" s="2076"/>
      <c r="BI222" s="2076"/>
      <c r="BJ222" s="2076"/>
      <c r="BK222" s="2076"/>
      <c r="BL222" s="2076"/>
      <c r="BM222" s="2076"/>
      <c r="BN222" s="2076"/>
      <c r="BO222" s="2076"/>
      <c r="BP222" s="2076"/>
      <c r="BQ222" s="2076"/>
      <c r="BR222" s="2076"/>
      <c r="BS222" s="2076"/>
      <c r="BT222" s="2076"/>
      <c r="BU222" s="2076"/>
      <c r="BV222" s="2076"/>
      <c r="BW222" s="2076"/>
      <c r="BX222" s="2076"/>
      <c r="BY222" s="2076"/>
      <c r="BZ222" s="2076"/>
      <c r="CA222" s="2076"/>
      <c r="CB222" s="2076"/>
      <c r="CC222" s="2076"/>
      <c r="CD222" s="2076"/>
      <c r="CE222" s="2076"/>
      <c r="CF222" s="2076"/>
      <c r="CG222" s="2076"/>
      <c r="CH222" s="2076"/>
      <c r="CI222" s="2076"/>
      <c r="CJ222" s="2076"/>
      <c r="CK222" s="2076"/>
      <c r="CL222" s="2076"/>
      <c r="CM222" s="2076"/>
      <c r="CN222" s="2076"/>
      <c r="CO222" s="2076"/>
      <c r="CP222" s="2076"/>
      <c r="CQ222" s="2076"/>
      <c r="CR222" s="2076"/>
      <c r="CS222" s="2076"/>
      <c r="CT222" s="2076"/>
      <c r="CU222" s="2076"/>
      <c r="CV222" s="2076"/>
      <c r="CW222" s="2076"/>
      <c r="CX222" s="2076"/>
      <c r="CY222" s="2076"/>
      <c r="CZ222" s="2076"/>
      <c r="DA222" s="2076"/>
      <c r="DB222" s="2076"/>
      <c r="DC222" s="2076"/>
      <c r="DD222" s="2076"/>
      <c r="DE222" s="2076"/>
      <c r="DF222" s="2076"/>
      <c r="DG222" s="2076"/>
      <c r="DH222" s="2076"/>
      <c r="DI222" s="2076"/>
      <c r="DJ222" s="2076"/>
      <c r="DK222" s="2076"/>
      <c r="DL222" s="2076"/>
      <c r="DM222" s="2076"/>
      <c r="DN222" s="2076"/>
      <c r="DO222" s="2076"/>
      <c r="DP222" s="2076"/>
      <c r="DQ222" s="2076"/>
      <c r="DR222" s="2076"/>
      <c r="DS222" s="2076"/>
      <c r="DT222" s="2076"/>
      <c r="DU222" s="2076"/>
      <c r="DV222" s="2076"/>
      <c r="DW222" s="2076"/>
      <c r="DX222" s="2076"/>
      <c r="DY222" s="2076"/>
      <c r="DZ222" s="2076"/>
      <c r="EA222" s="2076"/>
      <c r="EB222" s="2076"/>
      <c r="EC222" s="2076"/>
      <c r="ED222" s="2076"/>
      <c r="EE222" s="2076"/>
      <c r="EF222" s="2076"/>
      <c r="EG222" s="2076"/>
      <c r="EH222" s="2076"/>
      <c r="EI222" s="2076"/>
      <c r="EJ222" s="2076"/>
      <c r="EK222" s="2076"/>
      <c r="EL222" s="2076"/>
      <c r="EM222" s="2076"/>
      <c r="EN222" s="2076"/>
      <c r="EO222" s="2076"/>
      <c r="EP222" s="2076"/>
      <c r="EQ222" s="2076"/>
      <c r="ER222" s="2076"/>
      <c r="ES222" s="2076"/>
      <c r="ET222" s="2076"/>
      <c r="EU222" s="2076"/>
      <c r="EV222" s="2076"/>
      <c r="EW222" s="2076"/>
      <c r="EX222" s="2076"/>
      <c r="EY222" s="2076"/>
      <c r="EZ222" s="2076"/>
      <c r="FA222" s="2076"/>
      <c r="FB222" s="2076"/>
      <c r="FC222" s="2076"/>
      <c r="FD222" s="2076"/>
      <c r="FE222" s="2076"/>
      <c r="FF222" s="2076"/>
      <c r="FG222" s="2076"/>
      <c r="FH222" s="2076"/>
      <c r="FI222" s="2076"/>
      <c r="FJ222" s="2076"/>
      <c r="FK222" s="2076"/>
      <c r="FL222" s="2076"/>
      <c r="FM222" s="2076"/>
      <c r="FN222" s="2076"/>
      <c r="FO222" s="2076"/>
      <c r="FP222" s="2076"/>
      <c r="FQ222" s="2076"/>
      <c r="FR222" s="2076"/>
      <c r="FS222" s="2076"/>
      <c r="FT222" s="2076"/>
      <c r="FU222" s="2076"/>
      <c r="FV222" s="2076"/>
      <c r="FW222" s="2076"/>
      <c r="FX222" s="2076"/>
      <c r="FY222" s="2076"/>
      <c r="FZ222" s="2076"/>
      <c r="GA222" s="2076"/>
      <c r="GB222" s="2076"/>
      <c r="GC222" s="2076"/>
      <c r="GD222" s="2076"/>
      <c r="GE222" s="2076"/>
      <c r="GF222" s="2076"/>
      <c r="GG222" s="2076"/>
      <c r="GH222" s="2076"/>
      <c r="GI222" s="2076"/>
      <c r="GJ222" s="2076"/>
      <c r="GK222" s="2076"/>
      <c r="GL222" s="2076"/>
      <c r="GM222" s="2076"/>
      <c r="GN222" s="2076"/>
      <c r="GO222" s="2076"/>
      <c r="GP222" s="2076"/>
      <c r="GQ222" s="2076"/>
      <c r="GR222" s="2076"/>
      <c r="GS222" s="2076"/>
      <c r="GT222" s="2076"/>
      <c r="GU222" s="2076"/>
      <c r="GV222" s="2076"/>
      <c r="GW222" s="2076"/>
      <c r="GX222" s="2076"/>
      <c r="GY222" s="2076"/>
      <c r="GZ222" s="2076"/>
      <c r="HA222" s="2076"/>
      <c r="HB222" s="2076"/>
      <c r="HC222" s="2076"/>
      <c r="HD222" s="2076"/>
      <c r="HE222" s="2076"/>
      <c r="HF222" s="2076"/>
      <c r="HG222" s="2076"/>
      <c r="HH222" s="2076"/>
      <c r="HI222" s="2076"/>
      <c r="HJ222" s="2076"/>
      <c r="HK222" s="2076"/>
      <c r="HL222" s="2076"/>
      <c r="HM222" s="2076"/>
      <c r="HN222" s="2076"/>
      <c r="HO222" s="2076"/>
      <c r="HP222" s="2076"/>
      <c r="HQ222" s="2076"/>
      <c r="HR222" s="2076"/>
      <c r="HS222" s="2076"/>
      <c r="HT222" s="2076"/>
      <c r="HU222" s="2076"/>
      <c r="HV222" s="2076"/>
      <c r="HW222" s="2076"/>
      <c r="HX222" s="2076"/>
      <c r="HY222" s="2076"/>
      <c r="HZ222" s="2076"/>
      <c r="IA222" s="2076"/>
      <c r="IB222" s="2076"/>
      <c r="IC222" s="2076"/>
      <c r="ID222" s="2076"/>
      <c r="IE222" s="2076"/>
      <c r="IF222" s="2076"/>
      <c r="IG222" s="2076"/>
      <c r="IH222" s="2076"/>
      <c r="II222" s="2076"/>
      <c r="IJ222" s="2076"/>
      <c r="IK222" s="2076"/>
      <c r="IL222" s="2076"/>
      <c r="IM222" s="2076"/>
      <c r="IN222" s="2076"/>
      <c r="IO222" s="2076"/>
      <c r="IP222" s="2076"/>
      <c r="IQ222" s="2076"/>
      <c r="IR222" s="2076"/>
      <c r="IS222" s="2076"/>
      <c r="IT222" s="2076"/>
      <c r="IU222" s="2076"/>
      <c r="IV222" s="2076"/>
      <c r="IW222" s="2076"/>
      <c r="IX222" s="2076"/>
      <c r="IY222" s="2076"/>
      <c r="IZ222" s="2076"/>
      <c r="JA222" s="2076"/>
      <c r="JB222" s="2076"/>
      <c r="JC222" s="2076"/>
      <c r="JD222" s="2076"/>
      <c r="JE222" s="2076"/>
      <c r="JF222" s="2076"/>
      <c r="JG222" s="2076"/>
      <c r="JH222" s="2076"/>
      <c r="JI222" s="2076"/>
      <c r="JJ222" s="2076"/>
      <c r="JK222" s="2076"/>
      <c r="JL222" s="2076"/>
      <c r="JM222" s="2076"/>
      <c r="JN222" s="2076"/>
      <c r="JO222" s="2076"/>
      <c r="JP222" s="2076"/>
      <c r="JQ222" s="2076"/>
      <c r="JR222" s="2076"/>
      <c r="JS222" s="2076"/>
      <c r="JT222" s="2076"/>
      <c r="JU222" s="2076"/>
      <c r="JV222" s="2076"/>
      <c r="JW222" s="2076"/>
      <c r="JX222" s="2076"/>
      <c r="JY222" s="2076"/>
      <c r="JZ222" s="2076"/>
      <c r="KA222" s="2076"/>
      <c r="KB222" s="2076"/>
      <c r="KC222" s="2076"/>
      <c r="KD222" s="2076"/>
      <c r="KE222" s="2076"/>
      <c r="KF222" s="2076"/>
      <c r="KG222" s="2076"/>
      <c r="KH222" s="2076"/>
      <c r="KI222" s="2076"/>
      <c r="KJ222" s="2076"/>
      <c r="KK222" s="2076"/>
      <c r="KL222" s="2076"/>
      <c r="KM222" s="2076"/>
      <c r="KN222" s="2076"/>
      <c r="KO222" s="2076"/>
      <c r="KP222" s="2076"/>
      <c r="KQ222" s="2076"/>
      <c r="KR222" s="2076"/>
      <c r="KS222" s="2076"/>
      <c r="KT222" s="2076"/>
      <c r="KU222" s="2076"/>
      <c r="KV222" s="2076"/>
      <c r="KW222" s="2076"/>
      <c r="KX222" s="2076"/>
      <c r="KY222" s="2076"/>
      <c r="KZ222" s="2076"/>
      <c r="LA222" s="2076"/>
      <c r="LB222" s="2076"/>
      <c r="LC222" s="2076"/>
      <c r="LD222" s="2076"/>
      <c r="LE222" s="2076"/>
      <c r="LF222" s="2076"/>
      <c r="LG222" s="2076"/>
      <c r="LH222" s="2076"/>
      <c r="LI222" s="2076"/>
      <c r="LJ222" s="2076"/>
      <c r="LK222" s="2076"/>
      <c r="LL222" s="2076"/>
      <c r="LM222" s="2076"/>
      <c r="LN222" s="2076"/>
      <c r="LO222" s="2076"/>
      <c r="LP222" s="2076"/>
      <c r="LQ222" s="2076"/>
      <c r="LR222" s="2076"/>
      <c r="LS222" s="2076"/>
      <c r="LT222" s="2076"/>
      <c r="LU222" s="2076"/>
      <c r="LV222" s="2076"/>
      <c r="LW222" s="2076"/>
      <c r="LX222" s="2076"/>
      <c r="LY222" s="2076"/>
      <c r="LZ222" s="2076"/>
      <c r="MA222" s="2076"/>
      <c r="MB222" s="2076"/>
      <c r="MC222" s="2076"/>
      <c r="MD222" s="2076"/>
      <c r="ME222" s="2076"/>
      <c r="MF222" s="2076"/>
      <c r="MG222" s="2076"/>
      <c r="MH222" s="2076"/>
      <c r="MI222" s="2076"/>
      <c r="MJ222" s="2076"/>
      <c r="MK222" s="2076"/>
      <c r="ML222" s="2076"/>
      <c r="MM222" s="2076"/>
      <c r="MN222" s="2076"/>
      <c r="MO222" s="2076"/>
      <c r="MP222" s="2076"/>
      <c r="MQ222" s="2076"/>
      <c r="MR222" s="2076"/>
      <c r="MS222" s="2076"/>
      <c r="MT222" s="2076"/>
      <c r="MU222" s="2076"/>
      <c r="MV222" s="2076"/>
      <c r="MW222" s="2076"/>
      <c r="MX222" s="2076"/>
      <c r="MY222" s="2076"/>
      <c r="MZ222" s="2076"/>
      <c r="NA222" s="2076"/>
      <c r="NB222" s="2076"/>
      <c r="NC222" s="2076"/>
      <c r="ND222" s="2076"/>
      <c r="NE222" s="2076"/>
      <c r="NF222" s="2076"/>
      <c r="NG222" s="2076"/>
      <c r="NH222" s="2076"/>
      <c r="NI222" s="2076"/>
      <c r="NJ222" s="2076"/>
      <c r="NK222" s="2076"/>
      <c r="NL222" s="2076"/>
      <c r="NM222" s="2076"/>
      <c r="NN222" s="2076"/>
      <c r="NO222" s="2076"/>
      <c r="NP222" s="2076"/>
      <c r="NQ222" s="2076"/>
      <c r="NR222" s="2076"/>
      <c r="NS222" s="2076"/>
      <c r="NT222" s="2076"/>
      <c r="NU222" s="2076"/>
      <c r="NV222" s="2076"/>
      <c r="NW222" s="2076"/>
      <c r="NX222" s="2076"/>
      <c r="NY222" s="2076"/>
      <c r="NZ222" s="2076"/>
      <c r="OA222" s="2076"/>
      <c r="OB222" s="2076"/>
      <c r="OC222" s="2076"/>
      <c r="OD222" s="2076"/>
      <c r="OE222" s="2076"/>
      <c r="OF222" s="2076"/>
      <c r="OG222" s="2076"/>
      <c r="OH222" s="2076"/>
      <c r="OI222" s="2076"/>
      <c r="OJ222" s="2076"/>
      <c r="OK222" s="2076"/>
      <c r="OL222" s="2076"/>
      <c r="OM222" s="2076"/>
      <c r="ON222" s="2076"/>
      <c r="OO222" s="2076"/>
      <c r="OP222" s="2076"/>
      <c r="OQ222" s="2076"/>
      <c r="OR222" s="2076"/>
      <c r="OS222" s="2076"/>
      <c r="OT222" s="2076"/>
      <c r="OU222" s="2076"/>
      <c r="OV222" s="2076"/>
      <c r="OW222" s="2076"/>
      <c r="OX222" s="2076"/>
      <c r="OY222" s="2076"/>
      <c r="OZ222" s="2076"/>
      <c r="PA222" s="2076"/>
      <c r="PB222" s="2076"/>
      <c r="PC222" s="2076"/>
      <c r="PD222" s="2076"/>
      <c r="PE222" s="2076"/>
      <c r="PF222" s="2076"/>
      <c r="PG222" s="2076"/>
      <c r="PH222" s="2076"/>
      <c r="PI222" s="2076"/>
      <c r="PJ222" s="2076"/>
      <c r="PK222" s="2076"/>
      <c r="PL222" s="2076"/>
      <c r="PM222" s="2076"/>
      <c r="PN222" s="2076"/>
      <c r="PO222" s="2076"/>
      <c r="PP222" s="2076"/>
      <c r="PQ222" s="2076"/>
      <c r="PR222" s="2076"/>
      <c r="PS222" s="2076"/>
      <c r="PT222" s="2076"/>
      <c r="PU222" s="2076"/>
      <c r="PV222" s="2076"/>
      <c r="PW222" s="2076"/>
      <c r="PX222" s="2076"/>
      <c r="PY222" s="2076"/>
      <c r="PZ222" s="2076"/>
      <c r="QA222" s="2076"/>
      <c r="QB222" s="2076"/>
      <c r="QC222" s="2076"/>
      <c r="QD222" s="2076"/>
      <c r="QE222" s="2076"/>
      <c r="QF222" s="2076"/>
      <c r="QG222" s="2076"/>
      <c r="QH222" s="2076"/>
      <c r="QI222" s="2076"/>
      <c r="QJ222" s="2076"/>
      <c r="QK222" s="2076"/>
      <c r="QL222" s="2076"/>
      <c r="QM222" s="2076"/>
      <c r="QN222" s="2076"/>
      <c r="QO222" s="2076"/>
      <c r="QP222" s="2076"/>
      <c r="QQ222" s="2076"/>
      <c r="QR222" s="2076"/>
      <c r="QS222" s="2076"/>
      <c r="QT222" s="2076"/>
      <c r="QU222" s="2076"/>
      <c r="QV222" s="2076"/>
      <c r="QW222" s="2076"/>
      <c r="QX222" s="2076"/>
      <c r="QY222" s="2076"/>
      <c r="QZ222" s="2076"/>
      <c r="RA222" s="2076"/>
      <c r="RB222" s="2076"/>
      <c r="RC222" s="2076"/>
      <c r="RD222" s="2076"/>
      <c r="RE222" s="2076"/>
      <c r="RF222" s="2076"/>
      <c r="RG222" s="2076"/>
      <c r="RH222" s="2076"/>
      <c r="RI222" s="2076"/>
      <c r="RJ222" s="2076"/>
      <c r="RK222" s="2076"/>
      <c r="RL222" s="2076"/>
      <c r="RM222" s="2076"/>
      <c r="RN222" s="2076"/>
      <c r="RO222" s="2076"/>
      <c r="RP222" s="2076"/>
      <c r="RQ222" s="2076"/>
      <c r="RR222" s="2076"/>
      <c r="RS222" s="2076"/>
      <c r="RT222" s="2076"/>
      <c r="RU222" s="2076"/>
      <c r="RV222" s="2076"/>
      <c r="RW222" s="2076"/>
      <c r="RX222" s="2076"/>
      <c r="RY222" s="2076"/>
      <c r="RZ222" s="2076"/>
      <c r="SA222" s="2076"/>
      <c r="SB222" s="2076"/>
      <c r="SC222" s="2076"/>
      <c r="SD222" s="2076"/>
      <c r="SE222" s="2076"/>
      <c r="SF222" s="2076"/>
      <c r="SG222" s="2076"/>
      <c r="SH222" s="2076"/>
      <c r="SI222" s="2076"/>
      <c r="SJ222" s="2076"/>
      <c r="SK222" s="2076"/>
      <c r="SL222" s="2076"/>
      <c r="SM222" s="2076"/>
      <c r="SN222" s="2076"/>
      <c r="SO222" s="2076"/>
      <c r="SP222" s="2076"/>
      <c r="SQ222" s="2076"/>
      <c r="SR222" s="2076"/>
      <c r="SS222" s="2076"/>
      <c r="ST222" s="2076"/>
      <c r="SU222" s="2076"/>
      <c r="SV222" s="2076"/>
      <c r="SW222" s="2076"/>
      <c r="SX222" s="2076"/>
      <c r="SY222" s="2076"/>
      <c r="SZ222" s="2076"/>
      <c r="TA222" s="2076"/>
      <c r="TB222" s="2076"/>
      <c r="TC222" s="2076"/>
      <c r="TD222" s="2076"/>
      <c r="TE222" s="2076"/>
      <c r="TF222" s="2076"/>
      <c r="TG222" s="2076"/>
      <c r="TH222" s="2076"/>
      <c r="TI222" s="2076"/>
      <c r="TJ222" s="2076"/>
      <c r="TK222" s="2076"/>
      <c r="TL222" s="2076"/>
      <c r="TM222" s="2076"/>
      <c r="TN222" s="2076"/>
      <c r="TO222" s="2076"/>
      <c r="TP222" s="2076"/>
      <c r="TQ222" s="2076"/>
      <c r="TR222" s="2076"/>
      <c r="TS222" s="2076"/>
      <c r="TT222" s="2076"/>
      <c r="TU222" s="2076"/>
      <c r="TV222" s="2076"/>
      <c r="TW222" s="2076"/>
      <c r="TX222" s="2076"/>
      <c r="TY222" s="2076"/>
      <c r="TZ222" s="2076"/>
      <c r="UA222" s="2076"/>
      <c r="UB222" s="2076"/>
      <c r="UC222" s="2076"/>
      <c r="UD222" s="2076"/>
      <c r="UE222" s="2076"/>
      <c r="UF222" s="2076"/>
      <c r="UG222" s="2076"/>
      <c r="UH222" s="2076"/>
      <c r="UI222" s="2076"/>
      <c r="UJ222" s="2076"/>
      <c r="UK222" s="2076"/>
      <c r="UL222" s="2076"/>
      <c r="UM222" s="2076"/>
      <c r="UN222" s="2076"/>
      <c r="UO222" s="2076"/>
      <c r="UP222" s="2076"/>
      <c r="UQ222" s="2076"/>
      <c r="UR222" s="2076"/>
      <c r="US222" s="2076"/>
      <c r="UT222" s="2076"/>
      <c r="UU222" s="2076"/>
      <c r="UV222" s="2076"/>
      <c r="UW222" s="2076"/>
      <c r="UX222" s="2076"/>
      <c r="UY222" s="2076"/>
      <c r="UZ222" s="2076"/>
      <c r="VA222" s="2076"/>
      <c r="VB222" s="2076"/>
      <c r="VC222" s="2076"/>
      <c r="VD222" s="2076"/>
      <c r="VE222" s="2076"/>
      <c r="VF222" s="2076"/>
      <c r="VG222" s="2076"/>
      <c r="VH222" s="2076"/>
      <c r="VI222" s="2076"/>
      <c r="VJ222" s="2076"/>
      <c r="VK222" s="2076"/>
      <c r="VL222" s="2076"/>
      <c r="VM222" s="2076"/>
      <c r="VN222" s="2076"/>
      <c r="VO222" s="2076"/>
      <c r="VP222" s="2076"/>
      <c r="VQ222" s="2076"/>
      <c r="VR222" s="2076"/>
      <c r="VS222" s="2076"/>
      <c r="VT222" s="2076"/>
      <c r="VU222" s="2076"/>
      <c r="VV222" s="2076"/>
      <c r="VW222" s="2076"/>
      <c r="VX222" s="2076"/>
      <c r="VY222" s="2076"/>
      <c r="VZ222" s="2076"/>
      <c r="WA222" s="2076"/>
      <c r="WB222" s="2076"/>
      <c r="WC222" s="2076"/>
      <c r="WD222" s="2076"/>
      <c r="WE222" s="2076"/>
      <c r="WF222" s="2076"/>
      <c r="WG222" s="2076"/>
      <c r="WH222" s="2076"/>
      <c r="WI222" s="2076"/>
      <c r="WJ222" s="2076"/>
      <c r="WK222" s="2076"/>
      <c r="WL222" s="2076"/>
      <c r="WM222" s="2076"/>
      <c r="WN222" s="2076"/>
      <c r="WO222" s="2076"/>
      <c r="WP222" s="2076"/>
      <c r="WQ222" s="2076"/>
      <c r="WR222" s="2076"/>
      <c r="WS222" s="2076"/>
      <c r="WT222" s="2076"/>
      <c r="WU222" s="2076"/>
      <c r="WV222" s="2076"/>
      <c r="WW222" s="2076"/>
      <c r="WX222" s="2076"/>
      <c r="WY222" s="2076"/>
      <c r="WZ222" s="2076"/>
      <c r="XA222" s="2076"/>
      <c r="XB222" s="2076"/>
      <c r="XC222" s="2076"/>
      <c r="XD222" s="2076"/>
      <c r="XE222" s="2076"/>
      <c r="XF222" s="2076"/>
      <c r="XG222" s="2076"/>
      <c r="XH222" s="2076"/>
      <c r="XI222" s="2076"/>
      <c r="XJ222" s="2076"/>
      <c r="XK222" s="2076"/>
      <c r="XL222" s="2076"/>
      <c r="XM222" s="2076"/>
      <c r="XN222" s="2076"/>
      <c r="XO222" s="2076"/>
      <c r="XP222" s="2076"/>
      <c r="XQ222" s="2076"/>
      <c r="XR222" s="2076"/>
      <c r="XS222" s="2076"/>
      <c r="XT222" s="2076"/>
      <c r="XU222" s="2076"/>
      <c r="XV222" s="2076"/>
      <c r="XW222" s="2076"/>
      <c r="XX222" s="2076"/>
      <c r="XY222" s="2076"/>
      <c r="XZ222" s="2076"/>
      <c r="YA222" s="2076"/>
      <c r="YB222" s="2076"/>
      <c r="YC222" s="2076"/>
      <c r="YD222" s="2076"/>
      <c r="YE222" s="2076"/>
      <c r="YF222" s="2076"/>
      <c r="YG222" s="2076"/>
      <c r="YH222" s="2076"/>
      <c r="YI222" s="2076"/>
      <c r="YJ222" s="2076"/>
      <c r="YK222" s="2076"/>
      <c r="YL222" s="2076"/>
      <c r="YM222" s="2076"/>
      <c r="YN222" s="2076"/>
      <c r="YO222" s="2076"/>
      <c r="YP222" s="2076"/>
      <c r="YQ222" s="2076"/>
      <c r="YR222" s="2076"/>
      <c r="YS222" s="2076"/>
      <c r="YT222" s="2076"/>
      <c r="YU222" s="2076"/>
      <c r="YV222" s="2076"/>
      <c r="YW222" s="2076"/>
      <c r="YX222" s="2076"/>
      <c r="YY222" s="2076"/>
      <c r="YZ222" s="2076"/>
      <c r="ZA222" s="2076"/>
      <c r="ZB222" s="2076"/>
      <c r="ZC222" s="2076"/>
      <c r="ZD222" s="2076"/>
      <c r="ZE222" s="2076"/>
      <c r="ZF222" s="2076"/>
      <c r="ZG222" s="2076"/>
      <c r="ZH222" s="2076"/>
      <c r="ZI222" s="2076"/>
      <c r="ZJ222" s="2076"/>
      <c r="ZK222" s="2076"/>
      <c r="ZL222" s="2076"/>
      <c r="ZM222" s="2076"/>
      <c r="ZN222" s="2076"/>
      <c r="ZO222" s="2076"/>
      <c r="ZP222" s="2076"/>
      <c r="ZQ222" s="2076"/>
      <c r="ZR222" s="2076"/>
      <c r="ZS222" s="2076"/>
      <c r="ZT222" s="2076"/>
      <c r="ZU222" s="2076"/>
      <c r="ZV222" s="2076"/>
      <c r="ZW222" s="2076"/>
      <c r="ZX222" s="2076"/>
      <c r="ZY222" s="2076"/>
      <c r="ZZ222" s="2076"/>
      <c r="AAA222" s="2076"/>
      <c r="AAB222" s="2076"/>
      <c r="AAC222" s="2076"/>
      <c r="AAD222" s="2076"/>
      <c r="AAE222" s="2076"/>
      <c r="AAF222" s="2076"/>
      <c r="AAG222" s="2076"/>
      <c r="AAH222" s="2076"/>
      <c r="AAI222" s="2076"/>
      <c r="AAJ222" s="2076"/>
      <c r="AAK222" s="2076"/>
      <c r="AAL222" s="2076"/>
      <c r="AAM222" s="2076"/>
      <c r="AAN222" s="2076"/>
      <c r="AAO222" s="2076"/>
      <c r="AAP222" s="2076"/>
      <c r="AAQ222" s="2076"/>
      <c r="AAR222" s="2076"/>
      <c r="AAS222" s="2076"/>
      <c r="AAT222" s="2076"/>
      <c r="AAU222" s="2076"/>
      <c r="AAV222" s="2076"/>
      <c r="AAW222" s="2076"/>
      <c r="AAX222" s="2076"/>
      <c r="AAY222" s="2076"/>
      <c r="AAZ222" s="2076"/>
      <c r="ABA222" s="2076"/>
      <c r="ABB222" s="2076"/>
      <c r="ABC222" s="2076"/>
      <c r="ABD222" s="2076"/>
      <c r="ABE222" s="2076"/>
      <c r="ABF222" s="2076"/>
      <c r="ABG222" s="2076"/>
      <c r="ABH222" s="2076"/>
      <c r="ABI222" s="2076"/>
      <c r="ABJ222" s="2076"/>
      <c r="ABK222" s="2076"/>
      <c r="ABL222" s="2076"/>
      <c r="ABM222" s="2076"/>
      <c r="ABN222" s="2076"/>
      <c r="ABO222" s="2076"/>
      <c r="ABP222" s="2076"/>
      <c r="ABQ222" s="2076"/>
      <c r="ABR222" s="2076"/>
      <c r="ABS222" s="2076"/>
      <c r="ABT222" s="2076"/>
      <c r="ABU222" s="2076"/>
      <c r="ABV222" s="2076"/>
      <c r="ABW222" s="2076"/>
      <c r="ABX222" s="2076"/>
      <c r="ABY222" s="2076"/>
      <c r="ABZ222" s="2076"/>
      <c r="ACA222" s="2076"/>
      <c r="ACB222" s="2076"/>
      <c r="ACC222" s="2076"/>
      <c r="ACD222" s="2076"/>
      <c r="ACE222" s="2076"/>
      <c r="ACF222" s="2076"/>
      <c r="ACG222" s="2076"/>
      <c r="ACH222" s="2076"/>
      <c r="ACI222" s="2076"/>
      <c r="ACJ222" s="2076"/>
      <c r="ACK222" s="2076"/>
      <c r="ACL222" s="2076"/>
      <c r="ACM222" s="2076"/>
      <c r="ACN222" s="2076"/>
      <c r="ACO222" s="2076"/>
      <c r="ACP222" s="2076"/>
      <c r="ACQ222" s="2076"/>
      <c r="ACR222" s="2076"/>
      <c r="ACS222" s="2076"/>
      <c r="ACT222" s="2076"/>
      <c r="ACU222" s="2076"/>
      <c r="ACV222" s="2076"/>
      <c r="ACW222" s="2076"/>
      <c r="ACX222" s="2076"/>
      <c r="ACY222" s="2076"/>
      <c r="ACZ222" s="2076"/>
      <c r="ADA222" s="2076"/>
      <c r="ADB222" s="2076"/>
      <c r="ADC222" s="2076"/>
      <c r="ADD222" s="2076"/>
      <c r="ADE222" s="2076"/>
      <c r="ADF222" s="2076"/>
      <c r="ADG222" s="2076"/>
      <c r="ADH222" s="2076"/>
      <c r="ADI222" s="2076"/>
      <c r="ADJ222" s="2076"/>
      <c r="ADK222" s="2076"/>
      <c r="ADL222" s="2076"/>
      <c r="ADM222" s="2076"/>
      <c r="ADN222" s="2076"/>
      <c r="ADO222" s="2076"/>
      <c r="ADP222" s="2076"/>
      <c r="ADQ222" s="2076"/>
      <c r="ADR222" s="2076"/>
      <c r="ADS222" s="2076"/>
      <c r="ADT222" s="2076"/>
      <c r="ADU222" s="2076"/>
      <c r="ADV222" s="2076"/>
      <c r="ADW222" s="2076"/>
      <c r="ADX222" s="2076"/>
      <c r="ADY222" s="2076"/>
      <c r="ADZ222" s="2076"/>
      <c r="AEA222" s="2076"/>
      <c r="AEB222" s="2076"/>
      <c r="AEC222" s="2076"/>
      <c r="AED222" s="2076"/>
      <c r="AEE222" s="2076"/>
      <c r="AEF222" s="2076"/>
      <c r="AEG222" s="2076"/>
      <c r="AEH222" s="2076"/>
      <c r="AEI222" s="2076"/>
      <c r="AEJ222" s="2076"/>
      <c r="AEK222" s="2076"/>
      <c r="AEL222" s="2076"/>
      <c r="AEM222" s="2076"/>
      <c r="AEN222" s="2076"/>
      <c r="AEO222" s="2076"/>
      <c r="AEP222" s="2076"/>
      <c r="AEQ222" s="2076"/>
      <c r="AER222" s="2076"/>
      <c r="AES222" s="2076"/>
      <c r="AET222" s="2076"/>
      <c r="AEU222" s="2076"/>
      <c r="AEV222" s="2076"/>
      <c r="AEW222" s="2076"/>
      <c r="AEX222" s="2076"/>
      <c r="AEY222" s="2076"/>
      <c r="AEZ222" s="2076"/>
      <c r="AFA222" s="2076"/>
      <c r="AFB222" s="2076"/>
      <c r="AFC222" s="2076"/>
      <c r="AFD222" s="2076"/>
      <c r="AFE222" s="2076"/>
      <c r="AFF222" s="2076"/>
      <c r="AFG222" s="2076"/>
      <c r="AFH222" s="2076"/>
      <c r="AFI222" s="2076"/>
      <c r="AFJ222" s="2076"/>
      <c r="AFK222" s="2076"/>
      <c r="AFL222" s="2076"/>
      <c r="AFM222" s="2076"/>
      <c r="AFN222" s="2076"/>
      <c r="AFO222" s="2076"/>
      <c r="AFP222" s="2076"/>
      <c r="AFQ222" s="2076"/>
      <c r="AFR222" s="2076"/>
      <c r="AFS222" s="2076"/>
      <c r="AFT222" s="2076"/>
      <c r="AFU222" s="2076"/>
      <c r="AFV222" s="2076"/>
      <c r="AFW222" s="2076"/>
      <c r="AFX222" s="2076"/>
      <c r="AFY222" s="2076"/>
      <c r="AFZ222" s="2076"/>
      <c r="AGA222" s="2076"/>
      <c r="AGB222" s="2076"/>
      <c r="AGC222" s="2076"/>
      <c r="AGD222" s="2076"/>
      <c r="AGE222" s="2076"/>
      <c r="AGF222" s="2076"/>
      <c r="AGG222" s="2076"/>
      <c r="AGH222" s="2076"/>
      <c r="AGI222" s="2076"/>
      <c r="AGJ222" s="2076"/>
      <c r="AGK222" s="2076"/>
      <c r="AGL222" s="2076"/>
      <c r="AGM222" s="2076"/>
      <c r="AGN222" s="2076"/>
      <c r="AGO222" s="2076"/>
      <c r="AGP222" s="2076"/>
      <c r="AGQ222" s="2076"/>
      <c r="AGR222" s="2076"/>
      <c r="AGS222" s="2076"/>
      <c r="AGT222" s="2076"/>
      <c r="AGU222" s="2076"/>
      <c r="AGV222" s="2076"/>
      <c r="AGW222" s="2076"/>
      <c r="AGX222" s="2076"/>
      <c r="AGY222" s="2076"/>
      <c r="AGZ222" s="2076"/>
      <c r="AHA222" s="2076"/>
      <c r="AHB222" s="2076"/>
      <c r="AHC222" s="2076"/>
      <c r="AHD222" s="2076"/>
      <c r="AHE222" s="2076"/>
      <c r="AHF222" s="2076"/>
      <c r="AHG222" s="2076"/>
      <c r="AHH222" s="2076"/>
      <c r="AHI222" s="2076"/>
      <c r="AHJ222" s="2076"/>
      <c r="AHK222" s="2076"/>
      <c r="AHL222" s="2076"/>
      <c r="AHM222" s="2076"/>
      <c r="AHN222" s="2076"/>
      <c r="AHO222" s="2076"/>
      <c r="AHP222" s="2076"/>
      <c r="AHQ222" s="2076"/>
      <c r="AHR222" s="2076"/>
      <c r="AHS222" s="2076"/>
      <c r="AHT222" s="2076"/>
      <c r="AHU222" s="2076"/>
      <c r="AHV222" s="2076"/>
      <c r="AHW222" s="2076"/>
      <c r="AHX222" s="2076"/>
      <c r="AHY222" s="2076"/>
      <c r="AHZ222" s="2076"/>
      <c r="AIA222" s="2076"/>
      <c r="AIB222" s="2076"/>
      <c r="AIC222" s="2076"/>
      <c r="AID222" s="2076"/>
      <c r="AIE222" s="2076"/>
      <c r="AIF222" s="2076"/>
      <c r="AIG222" s="2076"/>
      <c r="AIH222" s="2076"/>
      <c r="AII222" s="2076"/>
      <c r="AIJ222" s="2076"/>
      <c r="AIK222" s="2076"/>
      <c r="AIL222" s="2076"/>
      <c r="AIM222" s="2076"/>
      <c r="AIN222" s="2076"/>
      <c r="AIO222" s="2076"/>
      <c r="AIP222" s="2076"/>
      <c r="AIQ222" s="2076"/>
      <c r="AIR222" s="2076"/>
      <c r="AIS222" s="2076"/>
      <c r="AIT222" s="2076"/>
      <c r="AIU222" s="2076"/>
      <c r="AIV222" s="2076"/>
      <c r="AIW222" s="2076"/>
      <c r="AIX222" s="2076"/>
      <c r="AIY222" s="2076"/>
      <c r="AIZ222" s="2076"/>
      <c r="AJA222" s="2076"/>
      <c r="AJB222" s="2076"/>
      <c r="AJC222" s="2076"/>
      <c r="AJD222" s="2076"/>
      <c r="AJE222" s="2076"/>
      <c r="AJF222" s="2076"/>
      <c r="AJG222" s="2076"/>
      <c r="AJH222" s="2076"/>
      <c r="AJI222" s="2076"/>
      <c r="AJJ222" s="2076"/>
      <c r="AJK222" s="2076"/>
      <c r="AJL222" s="2076"/>
      <c r="AJM222" s="2076"/>
      <c r="AJN222" s="2076"/>
      <c r="AJO222" s="2076"/>
      <c r="AJP222" s="2076"/>
      <c r="AJQ222" s="2076"/>
      <c r="AJR222" s="2076"/>
      <c r="AJS222" s="2076"/>
      <c r="AJT222" s="2076"/>
      <c r="AJU222" s="2076"/>
      <c r="AJV222" s="2076"/>
      <c r="AJW222" s="2076"/>
      <c r="AJX222" s="2076"/>
      <c r="AJY222" s="2076"/>
      <c r="AJZ222" s="2076"/>
      <c r="AKA222" s="2076"/>
      <c r="AKB222" s="2076"/>
      <c r="AKC222" s="2076"/>
      <c r="AKD222" s="2076"/>
      <c r="AKE222" s="2076"/>
      <c r="AKF222" s="2076"/>
      <c r="AKG222" s="2076"/>
      <c r="AKH222" s="2076"/>
      <c r="AKI222" s="2076"/>
      <c r="AKJ222" s="2076"/>
      <c r="AKK222" s="2076"/>
      <c r="AKL222" s="2076"/>
      <c r="AKM222" s="2076"/>
      <c r="AKN222" s="2076"/>
      <c r="AKO222" s="2076"/>
      <c r="AKP222" s="2076"/>
      <c r="AKQ222" s="2076"/>
      <c r="AKR222" s="2076"/>
      <c r="AKS222" s="2076"/>
      <c r="AKT222" s="2076"/>
      <c r="AKU222" s="2076"/>
      <c r="AKV222" s="2076"/>
      <c r="AKW222" s="2076"/>
      <c r="AKX222" s="2076"/>
      <c r="AKY222" s="2076"/>
      <c r="AKZ222" s="2076"/>
      <c r="ALA222" s="2076"/>
      <c r="ALB222" s="2076"/>
      <c r="ALC222" s="2076"/>
      <c r="ALD222" s="2076"/>
      <c r="ALE222" s="2076"/>
      <c r="ALF222" s="2076"/>
      <c r="ALG222" s="2076"/>
      <c r="ALH222" s="2076"/>
      <c r="ALI222" s="2076"/>
      <c r="ALJ222" s="2076"/>
      <c r="ALK222" s="2076"/>
      <c r="ALL222" s="2076"/>
      <c r="ALM222" s="2076"/>
      <c r="ALN222" s="2076"/>
      <c r="ALO222" s="2076"/>
      <c r="ALP222" s="2076"/>
      <c r="ALQ222" s="2076"/>
      <c r="ALR222" s="2076"/>
      <c r="ALS222" s="2076"/>
      <c r="ALT222" s="2076"/>
      <c r="ALU222" s="2076"/>
      <c r="ALV222" s="2076"/>
      <c r="ALW222" s="2076"/>
      <c r="ALX222" s="2076"/>
      <c r="ALY222" s="2076"/>
      <c r="ALZ222" s="2076"/>
      <c r="AMA222" s="2076"/>
      <c r="AMB222" s="2076"/>
      <c r="AMC222" s="2076"/>
      <c r="AMD222" s="2076"/>
      <c r="AME222" s="2076"/>
      <c r="AMF222" s="2076"/>
      <c r="AMG222" s="2076"/>
      <c r="AMH222" s="2076"/>
      <c r="AMI222" s="2076"/>
      <c r="AMJ222" s="2076"/>
      <c r="AMK222" s="2076"/>
      <c r="AML222" s="2076"/>
      <c r="AMM222" s="2076"/>
      <c r="AMN222" s="2076"/>
      <c r="AMO222" s="2076"/>
      <c r="AMP222" s="2076"/>
      <c r="AMQ222" s="2076"/>
      <c r="AMR222" s="2076"/>
      <c r="AMS222" s="2076"/>
      <c r="AMT222" s="2076"/>
      <c r="AMU222" s="2076"/>
      <c r="AMV222" s="2076"/>
      <c r="AMW222" s="2076"/>
      <c r="AMX222" s="2076"/>
      <c r="AMY222" s="2076"/>
      <c r="AMZ222" s="2076"/>
      <c r="ANA222" s="2076"/>
      <c r="ANB222" s="2076"/>
      <c r="ANC222" s="2076"/>
      <c r="AND222" s="2076"/>
      <c r="ANE222" s="2076"/>
      <c r="ANF222" s="2076"/>
      <c r="ANG222" s="2076"/>
      <c r="ANH222" s="2076"/>
      <c r="ANI222" s="2076"/>
      <c r="ANJ222" s="2076"/>
      <c r="ANK222" s="2076"/>
      <c r="ANL222" s="2076"/>
      <c r="ANM222" s="2076"/>
      <c r="ANN222" s="2076"/>
      <c r="ANO222" s="2076"/>
      <c r="ANP222" s="2076"/>
      <c r="ANQ222" s="2076"/>
      <c r="ANR222" s="2076"/>
      <c r="ANS222" s="2076"/>
      <c r="ANT222" s="2076"/>
      <c r="ANU222" s="2076"/>
      <c r="ANV222" s="2076"/>
      <c r="ANW222" s="2076"/>
      <c r="ANX222" s="2076"/>
      <c r="ANY222" s="2076"/>
      <c r="ANZ222" s="2076"/>
      <c r="AOA222" s="2076"/>
      <c r="AOB222" s="2076"/>
      <c r="AOC222" s="2076"/>
      <c r="AOD222" s="2076"/>
      <c r="AOE222" s="2076"/>
      <c r="AOF222" s="2076"/>
      <c r="AOG222" s="2076"/>
      <c r="AOH222" s="2076"/>
      <c r="AOI222" s="2076"/>
      <c r="AOJ222" s="2076"/>
      <c r="AOK222" s="2076"/>
      <c r="AOL222" s="2076"/>
      <c r="AOM222" s="2076"/>
      <c r="AON222" s="2076"/>
      <c r="AOO222" s="2076"/>
      <c r="AOP222" s="2076"/>
      <c r="AOQ222" s="2076"/>
      <c r="AOR222" s="2076"/>
      <c r="AOS222" s="2076"/>
      <c r="AOT222" s="2076"/>
      <c r="AOU222" s="2076"/>
      <c r="AOV222" s="2076"/>
      <c r="AOW222" s="2076"/>
      <c r="AOX222" s="2076"/>
      <c r="AOY222" s="2076"/>
      <c r="AOZ222" s="2076"/>
      <c r="APA222" s="2076"/>
      <c r="APB222" s="2076"/>
      <c r="APC222" s="2076"/>
      <c r="APD222" s="2076"/>
      <c r="APE222" s="2076"/>
      <c r="APF222" s="2076"/>
      <c r="APG222" s="2076"/>
      <c r="APH222" s="2076"/>
      <c r="API222" s="2076"/>
      <c r="APJ222" s="2076"/>
      <c r="APK222" s="2076"/>
      <c r="APL222" s="2076"/>
      <c r="APM222" s="2076"/>
      <c r="APN222" s="2076"/>
      <c r="APO222" s="2076"/>
      <c r="APP222" s="2076"/>
      <c r="APQ222" s="2076"/>
      <c r="APR222" s="2076"/>
      <c r="APS222" s="2076"/>
      <c r="APT222" s="2076"/>
      <c r="APU222" s="2076"/>
      <c r="APV222" s="2076"/>
      <c r="APW222" s="2076"/>
      <c r="APX222" s="2076"/>
      <c r="APY222" s="2076"/>
      <c r="APZ222" s="2076"/>
      <c r="AQA222" s="2076"/>
      <c r="AQB222" s="2076"/>
      <c r="AQC222" s="2076"/>
      <c r="AQD222" s="2076"/>
      <c r="AQE222" s="2076"/>
      <c r="AQF222" s="2076"/>
      <c r="AQG222" s="2076"/>
      <c r="AQH222" s="2076"/>
      <c r="AQI222" s="2076"/>
      <c r="AQJ222" s="2076"/>
      <c r="AQK222" s="2076"/>
      <c r="AQL222" s="2076"/>
      <c r="AQM222" s="2076"/>
      <c r="AQN222" s="2076"/>
      <c r="AQO222" s="2076"/>
      <c r="AQP222" s="2076"/>
      <c r="AQQ222" s="2076"/>
      <c r="AQR222" s="2076"/>
      <c r="AQS222" s="2076"/>
      <c r="AQT222" s="2076"/>
      <c r="AQU222" s="2076"/>
      <c r="AQV222" s="2076"/>
      <c r="AQW222" s="2076"/>
      <c r="AQX222" s="2076"/>
      <c r="AQY222" s="2076"/>
      <c r="AQZ222" s="2076"/>
      <c r="ARA222" s="2076"/>
      <c r="ARB222" s="2076"/>
      <c r="ARC222" s="2076"/>
      <c r="ARD222" s="2076"/>
      <c r="ARE222" s="2076"/>
      <c r="ARF222" s="2076"/>
      <c r="ARG222" s="2076"/>
      <c r="ARH222" s="2076"/>
      <c r="ARI222" s="2076"/>
      <c r="ARJ222" s="2076"/>
      <c r="ARK222" s="2076"/>
      <c r="ARL222" s="2076"/>
      <c r="ARM222" s="2076"/>
      <c r="ARN222" s="2076"/>
      <c r="ARO222" s="2076"/>
      <c r="ARP222" s="2076"/>
      <c r="ARQ222" s="2076"/>
      <c r="ARR222" s="2076"/>
      <c r="ARS222" s="2076"/>
      <c r="ART222" s="2076"/>
      <c r="ARU222" s="2076"/>
      <c r="ARV222" s="2076"/>
      <c r="ARW222" s="2076"/>
      <c r="ARX222" s="2076"/>
      <c r="ARY222" s="2076"/>
      <c r="ARZ222" s="2076"/>
      <c r="ASA222" s="2076"/>
      <c r="ASB222" s="2076"/>
      <c r="ASC222" s="2076"/>
      <c r="ASD222" s="2076"/>
      <c r="ASE222" s="2076"/>
      <c r="ASF222" s="2076"/>
      <c r="ASG222" s="2076"/>
      <c r="ASH222" s="2076"/>
      <c r="ASI222" s="2076"/>
      <c r="ASJ222" s="2076"/>
      <c r="ASK222" s="2076"/>
      <c r="ASL222" s="2076"/>
      <c r="ASM222" s="2076"/>
      <c r="ASN222" s="2076"/>
      <c r="ASO222" s="2076"/>
      <c r="ASP222" s="2076"/>
      <c r="ASQ222" s="2076"/>
      <c r="ASR222" s="2076"/>
      <c r="ASS222" s="2076"/>
      <c r="AST222" s="2076"/>
      <c r="ASU222" s="2076"/>
      <c r="ASV222" s="2076"/>
      <c r="ASW222" s="2076"/>
      <c r="ASX222" s="2076"/>
      <c r="ASY222" s="2076"/>
      <c r="ASZ222" s="2076"/>
      <c r="ATA222" s="2076"/>
      <c r="ATB222" s="2076"/>
      <c r="ATC222" s="2076"/>
      <c r="ATD222" s="2076"/>
      <c r="ATE222" s="2076"/>
      <c r="ATF222" s="2076"/>
      <c r="ATG222" s="2076"/>
      <c r="ATH222" s="2076"/>
      <c r="ATI222" s="2076"/>
      <c r="ATJ222" s="2076"/>
      <c r="ATK222" s="2076"/>
      <c r="ATL222" s="2076"/>
      <c r="ATM222" s="2076"/>
      <c r="ATN222" s="2076"/>
      <c r="ATO222" s="2076"/>
      <c r="ATP222" s="2076"/>
      <c r="ATQ222" s="2076"/>
      <c r="ATR222" s="2076"/>
      <c r="ATS222" s="2076"/>
      <c r="ATT222" s="2076"/>
      <c r="ATU222" s="2076"/>
      <c r="ATV222" s="2076"/>
      <c r="ATW222" s="2076"/>
      <c r="ATX222" s="2076"/>
      <c r="ATY222" s="2076"/>
      <c r="ATZ222" s="2076"/>
      <c r="AUA222" s="2076"/>
      <c r="AUB222" s="2076"/>
      <c r="AUC222" s="2076"/>
      <c r="AUD222" s="2076"/>
      <c r="AUE222" s="2076"/>
      <c r="AUF222" s="2076"/>
      <c r="AUG222" s="2076"/>
      <c r="AUH222" s="2076"/>
      <c r="AUI222" s="2076"/>
      <c r="AUJ222" s="2076"/>
      <c r="AUK222" s="2076"/>
      <c r="AUL222" s="2076"/>
      <c r="AUM222" s="2076"/>
      <c r="AUN222" s="2076"/>
      <c r="AUO222" s="2076"/>
      <c r="AUP222" s="2076"/>
      <c r="AUQ222" s="2076"/>
      <c r="AUR222" s="2076"/>
      <c r="AUS222" s="2076"/>
      <c r="AUT222" s="2076"/>
      <c r="AUU222" s="2076"/>
      <c r="AUV222" s="2076"/>
      <c r="AUW222" s="2076"/>
      <c r="AUX222" s="2076"/>
      <c r="AUY222" s="2076"/>
      <c r="AUZ222" s="2076"/>
      <c r="AVA222" s="2076"/>
      <c r="AVB222" s="2076"/>
      <c r="AVC222" s="2076"/>
      <c r="AVD222" s="2076"/>
      <c r="AVE222" s="2076"/>
      <c r="AVF222" s="2076"/>
      <c r="AVG222" s="2076"/>
      <c r="AVH222" s="2076"/>
      <c r="AVI222" s="2076"/>
      <c r="AVJ222" s="2076"/>
      <c r="AVK222" s="2076"/>
      <c r="AVL222" s="2076"/>
      <c r="AVM222" s="2076"/>
      <c r="AVN222" s="2076"/>
      <c r="AVO222" s="2076"/>
      <c r="AVP222" s="2076"/>
      <c r="AVQ222" s="2076"/>
      <c r="AVR222" s="2076"/>
      <c r="AVS222" s="2076"/>
      <c r="AVT222" s="2076"/>
      <c r="AVU222" s="2076"/>
      <c r="AVV222" s="2076"/>
      <c r="AVW222" s="2076"/>
      <c r="AVX222" s="2076"/>
      <c r="AVY222" s="2076"/>
      <c r="AVZ222" s="2076"/>
      <c r="AWA222" s="2076"/>
      <c r="AWB222" s="2076"/>
      <c r="AWC222" s="2076"/>
      <c r="AWD222" s="2076"/>
      <c r="AWE222" s="2076"/>
      <c r="AWF222" s="2076"/>
      <c r="AWG222" s="2076"/>
      <c r="AWH222" s="2076"/>
      <c r="AWI222" s="2076"/>
      <c r="AWJ222" s="2076"/>
      <c r="AWK222" s="2076"/>
      <c r="AWL222" s="2076"/>
      <c r="AWM222" s="2076"/>
      <c r="AWN222" s="2076"/>
      <c r="AWO222" s="2076"/>
      <c r="AWP222" s="2076"/>
      <c r="AWQ222" s="2076"/>
      <c r="AWR222" s="2076"/>
      <c r="AWS222" s="2076"/>
      <c r="AWT222" s="2076"/>
      <c r="AWU222" s="2076"/>
      <c r="AWV222" s="2076"/>
      <c r="AWW222" s="2076"/>
      <c r="AWX222" s="2076"/>
      <c r="AWY222" s="2076"/>
      <c r="AWZ222" s="2076"/>
      <c r="AXA222" s="2076"/>
      <c r="AXB222" s="2076"/>
      <c r="AXC222" s="2076"/>
      <c r="AXD222" s="2076"/>
      <c r="AXE222" s="2076"/>
      <c r="AXF222" s="2076"/>
      <c r="AXG222" s="2076"/>
      <c r="AXH222" s="2076"/>
      <c r="AXI222" s="2076"/>
      <c r="AXJ222" s="2076"/>
    </row>
    <row r="223" spans="1:1310" s="2077" customFormat="1" ht="23.25" customHeight="1">
      <c r="A223" s="2092"/>
      <c r="B223" s="3243"/>
      <c r="C223" s="3243"/>
      <c r="D223" s="3243"/>
      <c r="E223" s="3243"/>
      <c r="F223" s="3243"/>
      <c r="G223" s="3243"/>
      <c r="H223" s="3243"/>
      <c r="I223" s="3243"/>
      <c r="J223" s="3243"/>
      <c r="K223" s="3243"/>
      <c r="L223" s="3243"/>
      <c r="M223" s="3243"/>
      <c r="N223" s="3243"/>
      <c r="O223" s="3243"/>
      <c r="P223" s="3243"/>
      <c r="Q223" s="3243"/>
      <c r="R223" s="755"/>
      <c r="S223" s="755"/>
      <c r="T223" s="755"/>
      <c r="U223" s="755"/>
      <c r="V223" s="755"/>
      <c r="W223" s="755"/>
      <c r="X223" s="755"/>
      <c r="Y223" s="755"/>
      <c r="Z223" s="755"/>
      <c r="AA223" s="755"/>
      <c r="AB223" s="755"/>
      <c r="AC223" s="755"/>
      <c r="AD223" s="2075"/>
      <c r="AE223" s="2075"/>
      <c r="AF223" s="2075"/>
      <c r="AG223" s="2075"/>
      <c r="AH223" s="2075"/>
      <c r="AI223" s="2075"/>
      <c r="AJ223" s="2075"/>
      <c r="AK223" s="2075"/>
      <c r="AL223" s="2075"/>
      <c r="AM223" s="2075"/>
      <c r="AN223" s="2075"/>
      <c r="AO223" s="2075"/>
      <c r="AP223" s="2075"/>
      <c r="AQ223" s="2075"/>
      <c r="AR223" s="2075"/>
      <c r="AS223" s="2075"/>
      <c r="AT223" s="2075"/>
      <c r="AU223" s="2075"/>
      <c r="AV223" s="2076"/>
      <c r="AW223" s="2076"/>
      <c r="AX223" s="2076"/>
      <c r="AY223" s="2076"/>
      <c r="AZ223" s="2076"/>
      <c r="BA223" s="2076"/>
      <c r="BB223" s="2076"/>
      <c r="BC223" s="2076"/>
      <c r="BD223" s="2076"/>
      <c r="BE223" s="2076"/>
      <c r="BF223" s="2076"/>
      <c r="BG223" s="2076"/>
      <c r="BH223" s="2076"/>
      <c r="BI223" s="2076"/>
      <c r="BJ223" s="2076"/>
      <c r="BK223" s="2076"/>
      <c r="BL223" s="2076"/>
      <c r="BM223" s="2076"/>
      <c r="BN223" s="2076"/>
      <c r="BO223" s="2076"/>
      <c r="BP223" s="2076"/>
      <c r="BQ223" s="2076"/>
      <c r="BR223" s="2076"/>
      <c r="BS223" s="2076"/>
      <c r="BT223" s="2076"/>
      <c r="BU223" s="2076"/>
      <c r="BV223" s="2076"/>
      <c r="BW223" s="2076"/>
      <c r="BX223" s="2076"/>
      <c r="BY223" s="2076"/>
      <c r="BZ223" s="2076"/>
      <c r="CA223" s="2076"/>
      <c r="CB223" s="2076"/>
      <c r="CC223" s="2076"/>
      <c r="CD223" s="2076"/>
      <c r="CE223" s="2076"/>
      <c r="CF223" s="2076"/>
      <c r="CG223" s="2076"/>
      <c r="CH223" s="2076"/>
      <c r="CI223" s="2076"/>
      <c r="CJ223" s="2076"/>
      <c r="CK223" s="2076"/>
      <c r="CL223" s="2076"/>
      <c r="CM223" s="2076"/>
      <c r="CN223" s="2076"/>
      <c r="CO223" s="2076"/>
      <c r="CP223" s="2076"/>
      <c r="CQ223" s="2076"/>
      <c r="CR223" s="2076"/>
      <c r="CS223" s="2076"/>
      <c r="CT223" s="2076"/>
      <c r="CU223" s="2076"/>
      <c r="CV223" s="2076"/>
      <c r="CW223" s="2076"/>
      <c r="CX223" s="2076"/>
      <c r="CY223" s="2076"/>
      <c r="CZ223" s="2076"/>
      <c r="DA223" s="2076"/>
      <c r="DB223" s="2076"/>
      <c r="DC223" s="2076"/>
      <c r="DD223" s="2076"/>
      <c r="DE223" s="2076"/>
      <c r="DF223" s="2076"/>
      <c r="DG223" s="2076"/>
      <c r="DH223" s="2076"/>
      <c r="DI223" s="2076"/>
      <c r="DJ223" s="2076"/>
      <c r="DK223" s="2076"/>
      <c r="DL223" s="2076"/>
      <c r="DM223" s="2076"/>
      <c r="DN223" s="2076"/>
      <c r="DO223" s="2076"/>
      <c r="DP223" s="2076"/>
      <c r="DQ223" s="2076"/>
      <c r="DR223" s="2076"/>
      <c r="DS223" s="2076"/>
      <c r="DT223" s="2076"/>
      <c r="DU223" s="2076"/>
      <c r="DV223" s="2076"/>
      <c r="DW223" s="2076"/>
      <c r="DX223" s="2076"/>
      <c r="DY223" s="2076"/>
      <c r="DZ223" s="2076"/>
      <c r="EA223" s="2076"/>
      <c r="EB223" s="2076"/>
      <c r="EC223" s="2076"/>
      <c r="ED223" s="2076"/>
      <c r="EE223" s="2076"/>
      <c r="EF223" s="2076"/>
      <c r="EG223" s="2076"/>
      <c r="EH223" s="2076"/>
      <c r="EI223" s="2076"/>
      <c r="EJ223" s="2076"/>
      <c r="EK223" s="2076"/>
      <c r="EL223" s="2076"/>
      <c r="EM223" s="2076"/>
      <c r="EN223" s="2076"/>
      <c r="EO223" s="2076"/>
      <c r="EP223" s="2076"/>
      <c r="EQ223" s="2076"/>
      <c r="ER223" s="2076"/>
      <c r="ES223" s="2076"/>
      <c r="ET223" s="2076"/>
      <c r="EU223" s="2076"/>
      <c r="EV223" s="2076"/>
      <c r="EW223" s="2076"/>
      <c r="EX223" s="2076"/>
      <c r="EY223" s="2076"/>
      <c r="EZ223" s="2076"/>
      <c r="FA223" s="2076"/>
      <c r="FB223" s="2076"/>
      <c r="FC223" s="2076"/>
      <c r="FD223" s="2076"/>
      <c r="FE223" s="2076"/>
      <c r="FF223" s="2076"/>
      <c r="FG223" s="2076"/>
      <c r="FH223" s="2076"/>
      <c r="FI223" s="2076"/>
      <c r="FJ223" s="2076"/>
      <c r="FK223" s="2076"/>
      <c r="FL223" s="2076"/>
      <c r="FM223" s="2076"/>
      <c r="FN223" s="2076"/>
      <c r="FO223" s="2076"/>
      <c r="FP223" s="2076"/>
      <c r="FQ223" s="2076"/>
      <c r="FR223" s="2076"/>
      <c r="FS223" s="2076"/>
      <c r="FT223" s="2076"/>
      <c r="FU223" s="2076"/>
      <c r="FV223" s="2076"/>
      <c r="FW223" s="2076"/>
      <c r="FX223" s="2076"/>
      <c r="FY223" s="2076"/>
      <c r="FZ223" s="2076"/>
      <c r="GA223" s="2076"/>
      <c r="GB223" s="2076"/>
      <c r="GC223" s="2076"/>
      <c r="GD223" s="2076"/>
      <c r="GE223" s="2076"/>
      <c r="GF223" s="2076"/>
      <c r="GG223" s="2076"/>
      <c r="GH223" s="2076"/>
      <c r="GI223" s="2076"/>
      <c r="GJ223" s="2076"/>
      <c r="GK223" s="2076"/>
      <c r="GL223" s="2076"/>
      <c r="GM223" s="2076"/>
      <c r="GN223" s="2076"/>
      <c r="GO223" s="2076"/>
      <c r="GP223" s="2076"/>
      <c r="GQ223" s="2076"/>
      <c r="GR223" s="2076"/>
      <c r="GS223" s="2076"/>
      <c r="GT223" s="2076"/>
      <c r="GU223" s="2076"/>
      <c r="GV223" s="2076"/>
      <c r="GW223" s="2076"/>
      <c r="GX223" s="2076"/>
      <c r="GY223" s="2076"/>
      <c r="GZ223" s="2076"/>
      <c r="HA223" s="2076"/>
      <c r="HB223" s="2076"/>
      <c r="HC223" s="2076"/>
      <c r="HD223" s="2076"/>
      <c r="HE223" s="2076"/>
      <c r="HF223" s="2076"/>
      <c r="HG223" s="2076"/>
      <c r="HH223" s="2076"/>
      <c r="HI223" s="2076"/>
      <c r="HJ223" s="2076"/>
      <c r="HK223" s="2076"/>
      <c r="HL223" s="2076"/>
      <c r="HM223" s="2076"/>
      <c r="HN223" s="2076"/>
      <c r="HO223" s="2076"/>
      <c r="HP223" s="2076"/>
      <c r="HQ223" s="2076"/>
      <c r="HR223" s="2076"/>
      <c r="HS223" s="2076"/>
      <c r="HT223" s="2076"/>
      <c r="HU223" s="2076"/>
      <c r="HV223" s="2076"/>
      <c r="HW223" s="2076"/>
      <c r="HX223" s="2076"/>
      <c r="HY223" s="2076"/>
      <c r="HZ223" s="2076"/>
      <c r="IA223" s="2076"/>
      <c r="IB223" s="2076"/>
      <c r="IC223" s="2076"/>
      <c r="ID223" s="2076"/>
      <c r="IE223" s="2076"/>
      <c r="IF223" s="2076"/>
      <c r="IG223" s="2076"/>
      <c r="IH223" s="2076"/>
      <c r="II223" s="2076"/>
      <c r="IJ223" s="2076"/>
      <c r="IK223" s="2076"/>
      <c r="IL223" s="2076"/>
      <c r="IM223" s="2076"/>
      <c r="IN223" s="2076"/>
      <c r="IO223" s="2076"/>
      <c r="IP223" s="2076"/>
      <c r="IQ223" s="2076"/>
      <c r="IR223" s="2076"/>
      <c r="IS223" s="2076"/>
      <c r="IT223" s="2076"/>
      <c r="IU223" s="2076"/>
      <c r="IV223" s="2076"/>
      <c r="IW223" s="2076"/>
      <c r="IX223" s="2076"/>
      <c r="IY223" s="2076"/>
      <c r="IZ223" s="2076"/>
      <c r="JA223" s="2076"/>
      <c r="JB223" s="2076"/>
      <c r="JC223" s="2076"/>
      <c r="JD223" s="2076"/>
      <c r="JE223" s="2076"/>
      <c r="JF223" s="2076"/>
      <c r="JG223" s="2076"/>
      <c r="JH223" s="2076"/>
      <c r="JI223" s="2076"/>
      <c r="JJ223" s="2076"/>
      <c r="JK223" s="2076"/>
      <c r="JL223" s="2076"/>
      <c r="JM223" s="2076"/>
      <c r="JN223" s="2076"/>
      <c r="JO223" s="2076"/>
      <c r="JP223" s="2076"/>
      <c r="JQ223" s="2076"/>
      <c r="JR223" s="2076"/>
      <c r="JS223" s="2076"/>
      <c r="JT223" s="2076"/>
      <c r="JU223" s="2076"/>
      <c r="JV223" s="2076"/>
      <c r="JW223" s="2076"/>
      <c r="JX223" s="2076"/>
      <c r="JY223" s="2076"/>
      <c r="JZ223" s="2076"/>
      <c r="KA223" s="2076"/>
      <c r="KB223" s="2076"/>
      <c r="KC223" s="2076"/>
      <c r="KD223" s="2076"/>
      <c r="KE223" s="2076"/>
      <c r="KF223" s="2076"/>
      <c r="KG223" s="2076"/>
      <c r="KH223" s="2076"/>
      <c r="KI223" s="2076"/>
      <c r="KJ223" s="2076"/>
      <c r="KK223" s="2076"/>
      <c r="KL223" s="2076"/>
      <c r="KM223" s="2076"/>
      <c r="KN223" s="2076"/>
      <c r="KO223" s="2076"/>
      <c r="KP223" s="2076"/>
      <c r="KQ223" s="2076"/>
      <c r="KR223" s="2076"/>
      <c r="KS223" s="2076"/>
      <c r="KT223" s="2076"/>
      <c r="KU223" s="2076"/>
      <c r="KV223" s="2076"/>
      <c r="KW223" s="2076"/>
      <c r="KX223" s="2076"/>
      <c r="KY223" s="2076"/>
      <c r="KZ223" s="2076"/>
      <c r="LA223" s="2076"/>
      <c r="LB223" s="2076"/>
      <c r="LC223" s="2076"/>
      <c r="LD223" s="2076"/>
      <c r="LE223" s="2076"/>
      <c r="LF223" s="2076"/>
      <c r="LG223" s="2076"/>
      <c r="LH223" s="2076"/>
      <c r="LI223" s="2076"/>
      <c r="LJ223" s="2076"/>
      <c r="LK223" s="2076"/>
      <c r="LL223" s="2076"/>
      <c r="LM223" s="2076"/>
      <c r="LN223" s="2076"/>
      <c r="LO223" s="2076"/>
      <c r="LP223" s="2076"/>
      <c r="LQ223" s="2076"/>
      <c r="LR223" s="2076"/>
      <c r="LS223" s="2076"/>
      <c r="LT223" s="2076"/>
      <c r="LU223" s="2076"/>
      <c r="LV223" s="2076"/>
      <c r="LW223" s="2076"/>
      <c r="LX223" s="2076"/>
      <c r="LY223" s="2076"/>
      <c r="LZ223" s="2076"/>
      <c r="MA223" s="2076"/>
      <c r="MB223" s="2076"/>
      <c r="MC223" s="2076"/>
      <c r="MD223" s="2076"/>
      <c r="ME223" s="2076"/>
      <c r="MF223" s="2076"/>
      <c r="MG223" s="2076"/>
      <c r="MH223" s="2076"/>
      <c r="MI223" s="2076"/>
      <c r="MJ223" s="2076"/>
      <c r="MK223" s="2076"/>
      <c r="ML223" s="2076"/>
      <c r="MM223" s="2076"/>
      <c r="MN223" s="2076"/>
      <c r="MO223" s="2076"/>
      <c r="MP223" s="2076"/>
      <c r="MQ223" s="2076"/>
      <c r="MR223" s="2076"/>
      <c r="MS223" s="2076"/>
      <c r="MT223" s="2076"/>
      <c r="MU223" s="2076"/>
      <c r="MV223" s="2076"/>
      <c r="MW223" s="2076"/>
      <c r="MX223" s="2076"/>
      <c r="MY223" s="2076"/>
      <c r="MZ223" s="2076"/>
      <c r="NA223" s="2076"/>
      <c r="NB223" s="2076"/>
      <c r="NC223" s="2076"/>
      <c r="ND223" s="2076"/>
      <c r="NE223" s="2076"/>
      <c r="NF223" s="2076"/>
      <c r="NG223" s="2076"/>
      <c r="NH223" s="2076"/>
      <c r="NI223" s="2076"/>
      <c r="NJ223" s="2076"/>
      <c r="NK223" s="2076"/>
      <c r="NL223" s="2076"/>
      <c r="NM223" s="2076"/>
      <c r="NN223" s="2076"/>
      <c r="NO223" s="2076"/>
      <c r="NP223" s="2076"/>
      <c r="NQ223" s="2076"/>
      <c r="NR223" s="2076"/>
      <c r="NS223" s="2076"/>
      <c r="NT223" s="2076"/>
      <c r="NU223" s="2076"/>
      <c r="NV223" s="2076"/>
      <c r="NW223" s="2076"/>
      <c r="NX223" s="2076"/>
      <c r="NY223" s="2076"/>
      <c r="NZ223" s="2076"/>
      <c r="OA223" s="2076"/>
      <c r="OB223" s="2076"/>
      <c r="OC223" s="2076"/>
      <c r="OD223" s="2076"/>
      <c r="OE223" s="2076"/>
      <c r="OF223" s="2076"/>
      <c r="OG223" s="2076"/>
      <c r="OH223" s="2076"/>
      <c r="OI223" s="2076"/>
      <c r="OJ223" s="2076"/>
      <c r="OK223" s="2076"/>
      <c r="OL223" s="2076"/>
      <c r="OM223" s="2076"/>
      <c r="ON223" s="2076"/>
      <c r="OO223" s="2076"/>
      <c r="OP223" s="2076"/>
      <c r="OQ223" s="2076"/>
      <c r="OR223" s="2076"/>
      <c r="OS223" s="2076"/>
      <c r="OT223" s="2076"/>
      <c r="OU223" s="2076"/>
      <c r="OV223" s="2076"/>
      <c r="OW223" s="2076"/>
      <c r="OX223" s="2076"/>
      <c r="OY223" s="2076"/>
      <c r="OZ223" s="2076"/>
      <c r="PA223" s="2076"/>
      <c r="PB223" s="2076"/>
      <c r="PC223" s="2076"/>
      <c r="PD223" s="2076"/>
      <c r="PE223" s="2076"/>
      <c r="PF223" s="2076"/>
      <c r="PG223" s="2076"/>
      <c r="PH223" s="2076"/>
      <c r="PI223" s="2076"/>
      <c r="PJ223" s="2076"/>
      <c r="PK223" s="2076"/>
      <c r="PL223" s="2076"/>
      <c r="PM223" s="2076"/>
      <c r="PN223" s="2076"/>
      <c r="PO223" s="2076"/>
      <c r="PP223" s="2076"/>
      <c r="PQ223" s="2076"/>
      <c r="PR223" s="2076"/>
      <c r="PS223" s="2076"/>
      <c r="PT223" s="2076"/>
      <c r="PU223" s="2076"/>
      <c r="PV223" s="2076"/>
      <c r="PW223" s="2076"/>
      <c r="PX223" s="2076"/>
      <c r="PY223" s="2076"/>
      <c r="PZ223" s="2076"/>
      <c r="QA223" s="2076"/>
      <c r="QB223" s="2076"/>
      <c r="QC223" s="2076"/>
      <c r="QD223" s="2076"/>
      <c r="QE223" s="2076"/>
      <c r="QF223" s="2076"/>
      <c r="QG223" s="2076"/>
      <c r="QH223" s="2076"/>
      <c r="QI223" s="2076"/>
      <c r="QJ223" s="2076"/>
      <c r="QK223" s="2076"/>
      <c r="QL223" s="2076"/>
      <c r="QM223" s="2076"/>
      <c r="QN223" s="2076"/>
      <c r="QO223" s="2076"/>
      <c r="QP223" s="2076"/>
      <c r="QQ223" s="2076"/>
      <c r="QR223" s="2076"/>
      <c r="QS223" s="2076"/>
      <c r="QT223" s="2076"/>
      <c r="QU223" s="2076"/>
      <c r="QV223" s="2076"/>
      <c r="QW223" s="2076"/>
      <c r="QX223" s="2076"/>
      <c r="QY223" s="2076"/>
      <c r="QZ223" s="2076"/>
      <c r="RA223" s="2076"/>
      <c r="RB223" s="2076"/>
      <c r="RC223" s="2076"/>
      <c r="RD223" s="2076"/>
      <c r="RE223" s="2076"/>
      <c r="RF223" s="2076"/>
      <c r="RG223" s="2076"/>
      <c r="RH223" s="2076"/>
      <c r="RI223" s="2076"/>
      <c r="RJ223" s="2076"/>
      <c r="RK223" s="2076"/>
      <c r="RL223" s="2076"/>
      <c r="RM223" s="2076"/>
      <c r="RN223" s="2076"/>
      <c r="RO223" s="2076"/>
      <c r="RP223" s="2076"/>
      <c r="RQ223" s="2076"/>
      <c r="RR223" s="2076"/>
      <c r="RS223" s="2076"/>
      <c r="RT223" s="2076"/>
      <c r="RU223" s="2076"/>
      <c r="RV223" s="2076"/>
      <c r="RW223" s="2076"/>
      <c r="RX223" s="2076"/>
      <c r="RY223" s="2076"/>
      <c r="RZ223" s="2076"/>
      <c r="SA223" s="2076"/>
      <c r="SB223" s="2076"/>
      <c r="SC223" s="2076"/>
      <c r="SD223" s="2076"/>
      <c r="SE223" s="2076"/>
      <c r="SF223" s="2076"/>
      <c r="SG223" s="2076"/>
      <c r="SH223" s="2076"/>
      <c r="SI223" s="2076"/>
      <c r="SJ223" s="2076"/>
      <c r="SK223" s="2076"/>
      <c r="SL223" s="2076"/>
      <c r="SM223" s="2076"/>
      <c r="SN223" s="2076"/>
      <c r="SO223" s="2076"/>
      <c r="SP223" s="2076"/>
      <c r="SQ223" s="2076"/>
      <c r="SR223" s="2076"/>
      <c r="SS223" s="2076"/>
      <c r="ST223" s="2076"/>
      <c r="SU223" s="2076"/>
      <c r="SV223" s="2076"/>
      <c r="SW223" s="2076"/>
      <c r="SX223" s="2076"/>
      <c r="SY223" s="2076"/>
      <c r="SZ223" s="2076"/>
      <c r="TA223" s="2076"/>
      <c r="TB223" s="2076"/>
      <c r="TC223" s="2076"/>
      <c r="TD223" s="2076"/>
      <c r="TE223" s="2076"/>
      <c r="TF223" s="2076"/>
      <c r="TG223" s="2076"/>
      <c r="TH223" s="2076"/>
      <c r="TI223" s="2076"/>
      <c r="TJ223" s="2076"/>
      <c r="TK223" s="2076"/>
      <c r="TL223" s="2076"/>
      <c r="TM223" s="2076"/>
      <c r="TN223" s="2076"/>
      <c r="TO223" s="2076"/>
      <c r="TP223" s="2076"/>
      <c r="TQ223" s="2076"/>
      <c r="TR223" s="2076"/>
      <c r="TS223" s="2076"/>
      <c r="TT223" s="2076"/>
      <c r="TU223" s="2076"/>
      <c r="TV223" s="2076"/>
      <c r="TW223" s="2076"/>
      <c r="TX223" s="2076"/>
      <c r="TY223" s="2076"/>
      <c r="TZ223" s="2076"/>
      <c r="UA223" s="2076"/>
      <c r="UB223" s="2076"/>
      <c r="UC223" s="2076"/>
      <c r="UD223" s="2076"/>
      <c r="UE223" s="2076"/>
      <c r="UF223" s="2076"/>
      <c r="UG223" s="2076"/>
      <c r="UH223" s="2076"/>
      <c r="UI223" s="2076"/>
      <c r="UJ223" s="2076"/>
      <c r="UK223" s="2076"/>
      <c r="UL223" s="2076"/>
      <c r="UM223" s="2076"/>
      <c r="UN223" s="2076"/>
      <c r="UO223" s="2076"/>
      <c r="UP223" s="2076"/>
      <c r="UQ223" s="2076"/>
      <c r="UR223" s="2076"/>
      <c r="US223" s="2076"/>
      <c r="UT223" s="2076"/>
      <c r="UU223" s="2076"/>
      <c r="UV223" s="2076"/>
      <c r="UW223" s="2076"/>
      <c r="UX223" s="2076"/>
      <c r="UY223" s="2076"/>
      <c r="UZ223" s="2076"/>
      <c r="VA223" s="2076"/>
      <c r="VB223" s="2076"/>
      <c r="VC223" s="2076"/>
      <c r="VD223" s="2076"/>
      <c r="VE223" s="2076"/>
      <c r="VF223" s="2076"/>
      <c r="VG223" s="2076"/>
      <c r="VH223" s="2076"/>
      <c r="VI223" s="2076"/>
      <c r="VJ223" s="2076"/>
      <c r="VK223" s="2076"/>
      <c r="VL223" s="2076"/>
      <c r="VM223" s="2076"/>
      <c r="VN223" s="2076"/>
      <c r="VO223" s="2076"/>
      <c r="VP223" s="2076"/>
      <c r="VQ223" s="2076"/>
      <c r="VR223" s="2076"/>
      <c r="VS223" s="2076"/>
      <c r="VT223" s="2076"/>
      <c r="VU223" s="2076"/>
      <c r="VV223" s="2076"/>
      <c r="VW223" s="2076"/>
      <c r="VX223" s="2076"/>
      <c r="VY223" s="2076"/>
      <c r="VZ223" s="2076"/>
      <c r="WA223" s="2076"/>
      <c r="WB223" s="2076"/>
      <c r="WC223" s="2076"/>
      <c r="WD223" s="2076"/>
      <c r="WE223" s="2076"/>
      <c r="WF223" s="2076"/>
      <c r="WG223" s="2076"/>
      <c r="WH223" s="2076"/>
      <c r="WI223" s="2076"/>
      <c r="WJ223" s="2076"/>
      <c r="WK223" s="2076"/>
      <c r="WL223" s="2076"/>
      <c r="WM223" s="2076"/>
      <c r="WN223" s="2076"/>
      <c r="WO223" s="2076"/>
      <c r="WP223" s="2076"/>
      <c r="WQ223" s="2076"/>
      <c r="WR223" s="2076"/>
      <c r="WS223" s="2076"/>
      <c r="WT223" s="2076"/>
      <c r="WU223" s="2076"/>
      <c r="WV223" s="2076"/>
      <c r="WW223" s="2076"/>
      <c r="WX223" s="2076"/>
      <c r="WY223" s="2076"/>
      <c r="WZ223" s="2076"/>
      <c r="XA223" s="2076"/>
      <c r="XB223" s="2076"/>
      <c r="XC223" s="2076"/>
      <c r="XD223" s="2076"/>
      <c r="XE223" s="2076"/>
      <c r="XF223" s="2076"/>
      <c r="XG223" s="2076"/>
      <c r="XH223" s="2076"/>
      <c r="XI223" s="2076"/>
      <c r="XJ223" s="2076"/>
      <c r="XK223" s="2076"/>
      <c r="XL223" s="2076"/>
      <c r="XM223" s="2076"/>
      <c r="XN223" s="2076"/>
      <c r="XO223" s="2076"/>
      <c r="XP223" s="2076"/>
      <c r="XQ223" s="2076"/>
      <c r="XR223" s="2076"/>
      <c r="XS223" s="2076"/>
      <c r="XT223" s="2076"/>
      <c r="XU223" s="2076"/>
      <c r="XV223" s="2076"/>
      <c r="XW223" s="2076"/>
      <c r="XX223" s="2076"/>
      <c r="XY223" s="2076"/>
      <c r="XZ223" s="2076"/>
      <c r="YA223" s="2076"/>
      <c r="YB223" s="2076"/>
      <c r="YC223" s="2076"/>
      <c r="YD223" s="2076"/>
      <c r="YE223" s="2076"/>
      <c r="YF223" s="2076"/>
      <c r="YG223" s="2076"/>
      <c r="YH223" s="2076"/>
      <c r="YI223" s="2076"/>
      <c r="YJ223" s="2076"/>
      <c r="YK223" s="2076"/>
      <c r="YL223" s="2076"/>
      <c r="YM223" s="2076"/>
      <c r="YN223" s="2076"/>
      <c r="YO223" s="2076"/>
      <c r="YP223" s="2076"/>
      <c r="YQ223" s="2076"/>
      <c r="YR223" s="2076"/>
      <c r="YS223" s="2076"/>
      <c r="YT223" s="2076"/>
      <c r="YU223" s="2076"/>
      <c r="YV223" s="2076"/>
      <c r="YW223" s="2076"/>
      <c r="YX223" s="2076"/>
      <c r="YY223" s="2076"/>
      <c r="YZ223" s="2076"/>
      <c r="ZA223" s="2076"/>
      <c r="ZB223" s="2076"/>
      <c r="ZC223" s="2076"/>
      <c r="ZD223" s="2076"/>
      <c r="ZE223" s="2076"/>
      <c r="ZF223" s="2076"/>
      <c r="ZG223" s="2076"/>
      <c r="ZH223" s="2076"/>
      <c r="ZI223" s="2076"/>
      <c r="ZJ223" s="2076"/>
      <c r="ZK223" s="2076"/>
      <c r="ZL223" s="2076"/>
      <c r="ZM223" s="2076"/>
      <c r="ZN223" s="2076"/>
      <c r="ZO223" s="2076"/>
      <c r="ZP223" s="2076"/>
      <c r="ZQ223" s="2076"/>
      <c r="ZR223" s="2076"/>
      <c r="ZS223" s="2076"/>
      <c r="ZT223" s="2076"/>
      <c r="ZU223" s="2076"/>
      <c r="ZV223" s="2076"/>
      <c r="ZW223" s="2076"/>
      <c r="ZX223" s="2076"/>
      <c r="ZY223" s="2076"/>
      <c r="ZZ223" s="2076"/>
      <c r="AAA223" s="2076"/>
      <c r="AAB223" s="2076"/>
      <c r="AAC223" s="2076"/>
      <c r="AAD223" s="2076"/>
      <c r="AAE223" s="2076"/>
      <c r="AAF223" s="2076"/>
      <c r="AAG223" s="2076"/>
      <c r="AAH223" s="2076"/>
      <c r="AAI223" s="2076"/>
      <c r="AAJ223" s="2076"/>
      <c r="AAK223" s="2076"/>
      <c r="AAL223" s="2076"/>
      <c r="AAM223" s="2076"/>
      <c r="AAN223" s="2076"/>
      <c r="AAO223" s="2076"/>
      <c r="AAP223" s="2076"/>
      <c r="AAQ223" s="2076"/>
      <c r="AAR223" s="2076"/>
      <c r="AAS223" s="2076"/>
      <c r="AAT223" s="2076"/>
      <c r="AAU223" s="2076"/>
      <c r="AAV223" s="2076"/>
      <c r="AAW223" s="2076"/>
      <c r="AAX223" s="2076"/>
      <c r="AAY223" s="2076"/>
      <c r="AAZ223" s="2076"/>
      <c r="ABA223" s="2076"/>
      <c r="ABB223" s="2076"/>
      <c r="ABC223" s="2076"/>
      <c r="ABD223" s="2076"/>
      <c r="ABE223" s="2076"/>
      <c r="ABF223" s="2076"/>
      <c r="ABG223" s="2076"/>
      <c r="ABH223" s="2076"/>
      <c r="ABI223" s="2076"/>
      <c r="ABJ223" s="2076"/>
      <c r="ABK223" s="2076"/>
      <c r="ABL223" s="2076"/>
      <c r="ABM223" s="2076"/>
      <c r="ABN223" s="2076"/>
      <c r="ABO223" s="2076"/>
      <c r="ABP223" s="2076"/>
      <c r="ABQ223" s="2076"/>
      <c r="ABR223" s="2076"/>
      <c r="ABS223" s="2076"/>
      <c r="ABT223" s="2076"/>
      <c r="ABU223" s="2076"/>
      <c r="ABV223" s="2076"/>
      <c r="ABW223" s="2076"/>
      <c r="ABX223" s="2076"/>
      <c r="ABY223" s="2076"/>
      <c r="ABZ223" s="2076"/>
      <c r="ACA223" s="2076"/>
      <c r="ACB223" s="2076"/>
      <c r="ACC223" s="2076"/>
      <c r="ACD223" s="2076"/>
      <c r="ACE223" s="2076"/>
      <c r="ACF223" s="2076"/>
      <c r="ACG223" s="2076"/>
      <c r="ACH223" s="2076"/>
      <c r="ACI223" s="2076"/>
      <c r="ACJ223" s="2076"/>
      <c r="ACK223" s="2076"/>
      <c r="ACL223" s="2076"/>
      <c r="ACM223" s="2076"/>
      <c r="ACN223" s="2076"/>
      <c r="ACO223" s="2076"/>
      <c r="ACP223" s="2076"/>
      <c r="ACQ223" s="2076"/>
      <c r="ACR223" s="2076"/>
      <c r="ACS223" s="2076"/>
      <c r="ACT223" s="2076"/>
      <c r="ACU223" s="2076"/>
      <c r="ACV223" s="2076"/>
      <c r="ACW223" s="2076"/>
      <c r="ACX223" s="2076"/>
      <c r="ACY223" s="2076"/>
      <c r="ACZ223" s="2076"/>
      <c r="ADA223" s="2076"/>
      <c r="ADB223" s="2076"/>
      <c r="ADC223" s="2076"/>
      <c r="ADD223" s="2076"/>
      <c r="ADE223" s="2076"/>
      <c r="ADF223" s="2076"/>
      <c r="ADG223" s="2076"/>
      <c r="ADH223" s="2076"/>
      <c r="ADI223" s="2076"/>
      <c r="ADJ223" s="2076"/>
      <c r="ADK223" s="2076"/>
      <c r="ADL223" s="2076"/>
      <c r="ADM223" s="2076"/>
      <c r="ADN223" s="2076"/>
      <c r="ADO223" s="2076"/>
      <c r="ADP223" s="2076"/>
      <c r="ADQ223" s="2076"/>
      <c r="ADR223" s="2076"/>
      <c r="ADS223" s="2076"/>
      <c r="ADT223" s="2076"/>
      <c r="ADU223" s="2076"/>
      <c r="ADV223" s="2076"/>
      <c r="ADW223" s="2076"/>
      <c r="ADX223" s="2076"/>
      <c r="ADY223" s="2076"/>
      <c r="ADZ223" s="2076"/>
      <c r="AEA223" s="2076"/>
      <c r="AEB223" s="2076"/>
      <c r="AEC223" s="2076"/>
      <c r="AED223" s="2076"/>
      <c r="AEE223" s="2076"/>
      <c r="AEF223" s="2076"/>
      <c r="AEG223" s="2076"/>
      <c r="AEH223" s="2076"/>
      <c r="AEI223" s="2076"/>
      <c r="AEJ223" s="2076"/>
      <c r="AEK223" s="2076"/>
      <c r="AEL223" s="2076"/>
      <c r="AEM223" s="2076"/>
      <c r="AEN223" s="2076"/>
      <c r="AEO223" s="2076"/>
      <c r="AEP223" s="2076"/>
      <c r="AEQ223" s="2076"/>
      <c r="AER223" s="2076"/>
      <c r="AES223" s="2076"/>
      <c r="AET223" s="2076"/>
      <c r="AEU223" s="2076"/>
      <c r="AEV223" s="2076"/>
      <c r="AEW223" s="2076"/>
      <c r="AEX223" s="2076"/>
      <c r="AEY223" s="2076"/>
      <c r="AEZ223" s="2076"/>
      <c r="AFA223" s="2076"/>
      <c r="AFB223" s="2076"/>
      <c r="AFC223" s="2076"/>
      <c r="AFD223" s="2076"/>
      <c r="AFE223" s="2076"/>
      <c r="AFF223" s="2076"/>
      <c r="AFG223" s="2076"/>
      <c r="AFH223" s="2076"/>
      <c r="AFI223" s="2076"/>
      <c r="AFJ223" s="2076"/>
      <c r="AFK223" s="2076"/>
      <c r="AFL223" s="2076"/>
      <c r="AFM223" s="2076"/>
      <c r="AFN223" s="2076"/>
      <c r="AFO223" s="2076"/>
      <c r="AFP223" s="2076"/>
      <c r="AFQ223" s="2076"/>
      <c r="AFR223" s="2076"/>
      <c r="AFS223" s="2076"/>
      <c r="AFT223" s="2076"/>
      <c r="AFU223" s="2076"/>
      <c r="AFV223" s="2076"/>
      <c r="AFW223" s="2076"/>
      <c r="AFX223" s="2076"/>
      <c r="AFY223" s="2076"/>
      <c r="AFZ223" s="2076"/>
      <c r="AGA223" s="2076"/>
      <c r="AGB223" s="2076"/>
      <c r="AGC223" s="2076"/>
      <c r="AGD223" s="2076"/>
      <c r="AGE223" s="2076"/>
      <c r="AGF223" s="2076"/>
      <c r="AGG223" s="2076"/>
      <c r="AGH223" s="2076"/>
      <c r="AGI223" s="2076"/>
      <c r="AGJ223" s="2076"/>
      <c r="AGK223" s="2076"/>
      <c r="AGL223" s="2076"/>
      <c r="AGM223" s="2076"/>
      <c r="AGN223" s="2076"/>
      <c r="AGO223" s="2076"/>
      <c r="AGP223" s="2076"/>
      <c r="AGQ223" s="2076"/>
      <c r="AGR223" s="2076"/>
      <c r="AGS223" s="2076"/>
      <c r="AGT223" s="2076"/>
      <c r="AGU223" s="2076"/>
      <c r="AGV223" s="2076"/>
      <c r="AGW223" s="2076"/>
      <c r="AGX223" s="2076"/>
      <c r="AGY223" s="2076"/>
      <c r="AGZ223" s="2076"/>
      <c r="AHA223" s="2076"/>
      <c r="AHB223" s="2076"/>
      <c r="AHC223" s="2076"/>
      <c r="AHD223" s="2076"/>
      <c r="AHE223" s="2076"/>
      <c r="AHF223" s="2076"/>
      <c r="AHG223" s="2076"/>
      <c r="AHH223" s="2076"/>
      <c r="AHI223" s="2076"/>
      <c r="AHJ223" s="2076"/>
      <c r="AHK223" s="2076"/>
      <c r="AHL223" s="2076"/>
      <c r="AHM223" s="2076"/>
      <c r="AHN223" s="2076"/>
      <c r="AHO223" s="2076"/>
      <c r="AHP223" s="2076"/>
      <c r="AHQ223" s="2076"/>
      <c r="AHR223" s="2076"/>
      <c r="AHS223" s="2076"/>
      <c r="AHT223" s="2076"/>
      <c r="AHU223" s="2076"/>
      <c r="AHV223" s="2076"/>
      <c r="AHW223" s="2076"/>
      <c r="AHX223" s="2076"/>
      <c r="AHY223" s="2076"/>
      <c r="AHZ223" s="2076"/>
      <c r="AIA223" s="2076"/>
      <c r="AIB223" s="2076"/>
      <c r="AIC223" s="2076"/>
      <c r="AID223" s="2076"/>
      <c r="AIE223" s="2076"/>
      <c r="AIF223" s="2076"/>
      <c r="AIG223" s="2076"/>
      <c r="AIH223" s="2076"/>
      <c r="AII223" s="2076"/>
      <c r="AIJ223" s="2076"/>
      <c r="AIK223" s="2076"/>
      <c r="AIL223" s="2076"/>
      <c r="AIM223" s="2076"/>
      <c r="AIN223" s="2076"/>
      <c r="AIO223" s="2076"/>
      <c r="AIP223" s="2076"/>
      <c r="AIQ223" s="2076"/>
      <c r="AIR223" s="2076"/>
      <c r="AIS223" s="2076"/>
      <c r="AIT223" s="2076"/>
      <c r="AIU223" s="2076"/>
      <c r="AIV223" s="2076"/>
      <c r="AIW223" s="2076"/>
      <c r="AIX223" s="2076"/>
      <c r="AIY223" s="2076"/>
      <c r="AIZ223" s="2076"/>
      <c r="AJA223" s="2076"/>
      <c r="AJB223" s="2076"/>
      <c r="AJC223" s="2076"/>
      <c r="AJD223" s="2076"/>
      <c r="AJE223" s="2076"/>
      <c r="AJF223" s="2076"/>
      <c r="AJG223" s="2076"/>
      <c r="AJH223" s="2076"/>
      <c r="AJI223" s="2076"/>
      <c r="AJJ223" s="2076"/>
      <c r="AJK223" s="2076"/>
      <c r="AJL223" s="2076"/>
      <c r="AJM223" s="2076"/>
      <c r="AJN223" s="2076"/>
      <c r="AJO223" s="2076"/>
      <c r="AJP223" s="2076"/>
      <c r="AJQ223" s="2076"/>
      <c r="AJR223" s="2076"/>
      <c r="AJS223" s="2076"/>
      <c r="AJT223" s="2076"/>
      <c r="AJU223" s="2076"/>
      <c r="AJV223" s="2076"/>
      <c r="AJW223" s="2076"/>
      <c r="AJX223" s="2076"/>
      <c r="AJY223" s="2076"/>
      <c r="AJZ223" s="2076"/>
      <c r="AKA223" s="2076"/>
      <c r="AKB223" s="2076"/>
      <c r="AKC223" s="2076"/>
      <c r="AKD223" s="2076"/>
      <c r="AKE223" s="2076"/>
      <c r="AKF223" s="2076"/>
      <c r="AKG223" s="2076"/>
      <c r="AKH223" s="2076"/>
      <c r="AKI223" s="2076"/>
      <c r="AKJ223" s="2076"/>
      <c r="AKK223" s="2076"/>
      <c r="AKL223" s="2076"/>
      <c r="AKM223" s="2076"/>
      <c r="AKN223" s="2076"/>
      <c r="AKO223" s="2076"/>
      <c r="AKP223" s="2076"/>
      <c r="AKQ223" s="2076"/>
      <c r="AKR223" s="2076"/>
      <c r="AKS223" s="2076"/>
      <c r="AKT223" s="2076"/>
      <c r="AKU223" s="2076"/>
      <c r="AKV223" s="2076"/>
      <c r="AKW223" s="2076"/>
      <c r="AKX223" s="2076"/>
      <c r="AKY223" s="2076"/>
      <c r="AKZ223" s="2076"/>
      <c r="ALA223" s="2076"/>
      <c r="ALB223" s="2076"/>
      <c r="ALC223" s="2076"/>
      <c r="ALD223" s="2076"/>
      <c r="ALE223" s="2076"/>
      <c r="ALF223" s="2076"/>
      <c r="ALG223" s="2076"/>
      <c r="ALH223" s="2076"/>
      <c r="ALI223" s="2076"/>
      <c r="ALJ223" s="2076"/>
      <c r="ALK223" s="2076"/>
      <c r="ALL223" s="2076"/>
      <c r="ALM223" s="2076"/>
      <c r="ALN223" s="2076"/>
      <c r="ALO223" s="2076"/>
      <c r="ALP223" s="2076"/>
      <c r="ALQ223" s="2076"/>
      <c r="ALR223" s="2076"/>
      <c r="ALS223" s="2076"/>
      <c r="ALT223" s="2076"/>
      <c r="ALU223" s="2076"/>
      <c r="ALV223" s="2076"/>
      <c r="ALW223" s="2076"/>
      <c r="ALX223" s="2076"/>
      <c r="ALY223" s="2076"/>
      <c r="ALZ223" s="2076"/>
      <c r="AMA223" s="2076"/>
      <c r="AMB223" s="2076"/>
      <c r="AMC223" s="2076"/>
      <c r="AMD223" s="2076"/>
      <c r="AME223" s="2076"/>
      <c r="AMF223" s="2076"/>
      <c r="AMG223" s="2076"/>
      <c r="AMH223" s="2076"/>
      <c r="AMI223" s="2076"/>
      <c r="AMJ223" s="2076"/>
      <c r="AMK223" s="2076"/>
      <c r="AML223" s="2076"/>
      <c r="AMM223" s="2076"/>
      <c r="AMN223" s="2076"/>
      <c r="AMO223" s="2076"/>
      <c r="AMP223" s="2076"/>
      <c r="AMQ223" s="2076"/>
      <c r="AMR223" s="2076"/>
      <c r="AMS223" s="2076"/>
      <c r="AMT223" s="2076"/>
      <c r="AMU223" s="2076"/>
      <c r="AMV223" s="2076"/>
      <c r="AMW223" s="2076"/>
      <c r="AMX223" s="2076"/>
      <c r="AMY223" s="2076"/>
      <c r="AMZ223" s="2076"/>
      <c r="ANA223" s="2076"/>
      <c r="ANB223" s="2076"/>
      <c r="ANC223" s="2076"/>
      <c r="AND223" s="2076"/>
      <c r="ANE223" s="2076"/>
      <c r="ANF223" s="2076"/>
      <c r="ANG223" s="2076"/>
      <c r="ANH223" s="2076"/>
      <c r="ANI223" s="2076"/>
      <c r="ANJ223" s="2076"/>
      <c r="ANK223" s="2076"/>
      <c r="ANL223" s="2076"/>
      <c r="ANM223" s="2076"/>
      <c r="ANN223" s="2076"/>
      <c r="ANO223" s="2076"/>
      <c r="ANP223" s="2076"/>
      <c r="ANQ223" s="2076"/>
      <c r="ANR223" s="2076"/>
      <c r="ANS223" s="2076"/>
      <c r="ANT223" s="2076"/>
      <c r="ANU223" s="2076"/>
      <c r="ANV223" s="2076"/>
      <c r="ANW223" s="2076"/>
      <c r="ANX223" s="2076"/>
      <c r="ANY223" s="2076"/>
      <c r="ANZ223" s="2076"/>
      <c r="AOA223" s="2076"/>
      <c r="AOB223" s="2076"/>
      <c r="AOC223" s="2076"/>
      <c r="AOD223" s="2076"/>
      <c r="AOE223" s="2076"/>
      <c r="AOF223" s="2076"/>
      <c r="AOG223" s="2076"/>
      <c r="AOH223" s="2076"/>
      <c r="AOI223" s="2076"/>
      <c r="AOJ223" s="2076"/>
      <c r="AOK223" s="2076"/>
      <c r="AOL223" s="2076"/>
      <c r="AOM223" s="2076"/>
      <c r="AON223" s="2076"/>
      <c r="AOO223" s="2076"/>
      <c r="AOP223" s="2076"/>
      <c r="AOQ223" s="2076"/>
      <c r="AOR223" s="2076"/>
      <c r="AOS223" s="2076"/>
      <c r="AOT223" s="2076"/>
      <c r="AOU223" s="2076"/>
      <c r="AOV223" s="2076"/>
      <c r="AOW223" s="2076"/>
      <c r="AOX223" s="2076"/>
      <c r="AOY223" s="2076"/>
      <c r="AOZ223" s="2076"/>
      <c r="APA223" s="2076"/>
      <c r="APB223" s="2076"/>
      <c r="APC223" s="2076"/>
      <c r="APD223" s="2076"/>
      <c r="APE223" s="2076"/>
      <c r="APF223" s="2076"/>
      <c r="APG223" s="2076"/>
      <c r="APH223" s="2076"/>
      <c r="API223" s="2076"/>
      <c r="APJ223" s="2076"/>
      <c r="APK223" s="2076"/>
      <c r="APL223" s="2076"/>
      <c r="APM223" s="2076"/>
      <c r="APN223" s="2076"/>
      <c r="APO223" s="2076"/>
      <c r="APP223" s="2076"/>
      <c r="APQ223" s="2076"/>
      <c r="APR223" s="2076"/>
      <c r="APS223" s="2076"/>
      <c r="APT223" s="2076"/>
      <c r="APU223" s="2076"/>
      <c r="APV223" s="2076"/>
      <c r="APW223" s="2076"/>
      <c r="APX223" s="2076"/>
      <c r="APY223" s="2076"/>
      <c r="APZ223" s="2076"/>
      <c r="AQA223" s="2076"/>
      <c r="AQB223" s="2076"/>
      <c r="AQC223" s="2076"/>
      <c r="AQD223" s="2076"/>
      <c r="AQE223" s="2076"/>
      <c r="AQF223" s="2076"/>
      <c r="AQG223" s="2076"/>
      <c r="AQH223" s="2076"/>
      <c r="AQI223" s="2076"/>
      <c r="AQJ223" s="2076"/>
      <c r="AQK223" s="2076"/>
      <c r="AQL223" s="2076"/>
      <c r="AQM223" s="2076"/>
      <c r="AQN223" s="2076"/>
      <c r="AQO223" s="2076"/>
      <c r="AQP223" s="2076"/>
      <c r="AQQ223" s="2076"/>
      <c r="AQR223" s="2076"/>
      <c r="AQS223" s="2076"/>
      <c r="AQT223" s="2076"/>
      <c r="AQU223" s="2076"/>
      <c r="AQV223" s="2076"/>
      <c r="AQW223" s="2076"/>
      <c r="AQX223" s="2076"/>
      <c r="AQY223" s="2076"/>
      <c r="AQZ223" s="2076"/>
      <c r="ARA223" s="2076"/>
      <c r="ARB223" s="2076"/>
      <c r="ARC223" s="2076"/>
      <c r="ARD223" s="2076"/>
      <c r="ARE223" s="2076"/>
      <c r="ARF223" s="2076"/>
      <c r="ARG223" s="2076"/>
      <c r="ARH223" s="2076"/>
      <c r="ARI223" s="2076"/>
      <c r="ARJ223" s="2076"/>
      <c r="ARK223" s="2076"/>
      <c r="ARL223" s="2076"/>
      <c r="ARM223" s="2076"/>
      <c r="ARN223" s="2076"/>
      <c r="ARO223" s="2076"/>
      <c r="ARP223" s="2076"/>
      <c r="ARQ223" s="2076"/>
      <c r="ARR223" s="2076"/>
      <c r="ARS223" s="2076"/>
      <c r="ART223" s="2076"/>
      <c r="ARU223" s="2076"/>
      <c r="ARV223" s="2076"/>
      <c r="ARW223" s="2076"/>
      <c r="ARX223" s="2076"/>
      <c r="ARY223" s="2076"/>
      <c r="ARZ223" s="2076"/>
      <c r="ASA223" s="2076"/>
      <c r="ASB223" s="2076"/>
      <c r="ASC223" s="2076"/>
      <c r="ASD223" s="2076"/>
      <c r="ASE223" s="2076"/>
      <c r="ASF223" s="2076"/>
      <c r="ASG223" s="2076"/>
      <c r="ASH223" s="2076"/>
      <c r="ASI223" s="2076"/>
      <c r="ASJ223" s="2076"/>
      <c r="ASK223" s="2076"/>
      <c r="ASL223" s="2076"/>
      <c r="ASM223" s="2076"/>
      <c r="ASN223" s="2076"/>
      <c r="ASO223" s="2076"/>
      <c r="ASP223" s="2076"/>
      <c r="ASQ223" s="2076"/>
      <c r="ASR223" s="2076"/>
      <c r="ASS223" s="2076"/>
      <c r="AST223" s="2076"/>
      <c r="ASU223" s="2076"/>
      <c r="ASV223" s="2076"/>
      <c r="ASW223" s="2076"/>
      <c r="ASX223" s="2076"/>
      <c r="ASY223" s="2076"/>
      <c r="ASZ223" s="2076"/>
      <c r="ATA223" s="2076"/>
      <c r="ATB223" s="2076"/>
      <c r="ATC223" s="2076"/>
      <c r="ATD223" s="2076"/>
      <c r="ATE223" s="2076"/>
      <c r="ATF223" s="2076"/>
      <c r="ATG223" s="2076"/>
      <c r="ATH223" s="2076"/>
      <c r="ATI223" s="2076"/>
      <c r="ATJ223" s="2076"/>
      <c r="ATK223" s="2076"/>
      <c r="ATL223" s="2076"/>
      <c r="ATM223" s="2076"/>
      <c r="ATN223" s="2076"/>
      <c r="ATO223" s="2076"/>
      <c r="ATP223" s="2076"/>
      <c r="ATQ223" s="2076"/>
      <c r="ATR223" s="2076"/>
      <c r="ATS223" s="2076"/>
      <c r="ATT223" s="2076"/>
      <c r="ATU223" s="2076"/>
      <c r="ATV223" s="2076"/>
      <c r="ATW223" s="2076"/>
      <c r="ATX223" s="2076"/>
      <c r="ATY223" s="2076"/>
      <c r="ATZ223" s="2076"/>
      <c r="AUA223" s="2076"/>
      <c r="AUB223" s="2076"/>
      <c r="AUC223" s="2076"/>
      <c r="AUD223" s="2076"/>
      <c r="AUE223" s="2076"/>
      <c r="AUF223" s="2076"/>
      <c r="AUG223" s="2076"/>
      <c r="AUH223" s="2076"/>
      <c r="AUI223" s="2076"/>
      <c r="AUJ223" s="2076"/>
      <c r="AUK223" s="2076"/>
      <c r="AUL223" s="2076"/>
      <c r="AUM223" s="2076"/>
      <c r="AUN223" s="2076"/>
      <c r="AUO223" s="2076"/>
      <c r="AUP223" s="2076"/>
      <c r="AUQ223" s="2076"/>
      <c r="AUR223" s="2076"/>
      <c r="AUS223" s="2076"/>
      <c r="AUT223" s="2076"/>
      <c r="AUU223" s="2076"/>
      <c r="AUV223" s="2076"/>
      <c r="AUW223" s="2076"/>
      <c r="AUX223" s="2076"/>
      <c r="AUY223" s="2076"/>
      <c r="AUZ223" s="2076"/>
      <c r="AVA223" s="2076"/>
      <c r="AVB223" s="2076"/>
      <c r="AVC223" s="2076"/>
      <c r="AVD223" s="2076"/>
      <c r="AVE223" s="2076"/>
      <c r="AVF223" s="2076"/>
      <c r="AVG223" s="2076"/>
      <c r="AVH223" s="2076"/>
      <c r="AVI223" s="2076"/>
      <c r="AVJ223" s="2076"/>
      <c r="AVK223" s="2076"/>
      <c r="AVL223" s="2076"/>
      <c r="AVM223" s="2076"/>
      <c r="AVN223" s="2076"/>
      <c r="AVO223" s="2076"/>
      <c r="AVP223" s="2076"/>
      <c r="AVQ223" s="2076"/>
      <c r="AVR223" s="2076"/>
      <c r="AVS223" s="2076"/>
      <c r="AVT223" s="2076"/>
      <c r="AVU223" s="2076"/>
      <c r="AVV223" s="2076"/>
      <c r="AVW223" s="2076"/>
      <c r="AVX223" s="2076"/>
      <c r="AVY223" s="2076"/>
      <c r="AVZ223" s="2076"/>
      <c r="AWA223" s="2076"/>
      <c r="AWB223" s="2076"/>
      <c r="AWC223" s="2076"/>
      <c r="AWD223" s="2076"/>
      <c r="AWE223" s="2076"/>
      <c r="AWF223" s="2076"/>
      <c r="AWG223" s="2076"/>
      <c r="AWH223" s="2076"/>
      <c r="AWI223" s="2076"/>
      <c r="AWJ223" s="2076"/>
      <c r="AWK223" s="2076"/>
      <c r="AWL223" s="2076"/>
      <c r="AWM223" s="2076"/>
      <c r="AWN223" s="2076"/>
      <c r="AWO223" s="2076"/>
      <c r="AWP223" s="2076"/>
      <c r="AWQ223" s="2076"/>
      <c r="AWR223" s="2076"/>
      <c r="AWS223" s="2076"/>
      <c r="AWT223" s="2076"/>
      <c r="AWU223" s="2076"/>
      <c r="AWV223" s="2076"/>
      <c r="AWW223" s="2076"/>
      <c r="AWX223" s="2076"/>
      <c r="AWY223" s="2076"/>
      <c r="AWZ223" s="2076"/>
      <c r="AXA223" s="2076"/>
      <c r="AXB223" s="2076"/>
      <c r="AXC223" s="2076"/>
      <c r="AXD223" s="2076"/>
      <c r="AXE223" s="2076"/>
      <c r="AXF223" s="2076"/>
      <c r="AXG223" s="2076"/>
      <c r="AXH223" s="2076"/>
      <c r="AXI223" s="2076"/>
      <c r="AXJ223" s="2076"/>
    </row>
    <row r="224" spans="1:1310" s="2077" customFormat="1" ht="23.25" customHeight="1">
      <c r="A224" s="2092"/>
      <c r="B224" s="3244" t="s">
        <v>2356</v>
      </c>
      <c r="C224" s="3244"/>
      <c r="D224" s="3244"/>
      <c r="E224" s="3244"/>
      <c r="F224" s="3244"/>
      <c r="G224" s="3244"/>
      <c r="H224" s="3244"/>
      <c r="I224" s="3244"/>
      <c r="J224" s="3244"/>
      <c r="K224" s="3244"/>
      <c r="L224" s="3244"/>
      <c r="M224" s="3244"/>
      <c r="N224" s="3244"/>
      <c r="O224" s="3244"/>
      <c r="P224" s="3244"/>
      <c r="Q224" s="3244"/>
      <c r="R224" s="755"/>
      <c r="S224" s="755"/>
      <c r="T224" s="755"/>
      <c r="U224" s="755"/>
      <c r="V224" s="755"/>
      <c r="W224" s="755"/>
      <c r="X224" s="755"/>
      <c r="Y224" s="755"/>
      <c r="Z224" s="755"/>
      <c r="AA224" s="755"/>
      <c r="AB224" s="755"/>
      <c r="AC224" s="755"/>
      <c r="AD224" s="2075"/>
      <c r="AE224" s="2075"/>
      <c r="AF224" s="2075"/>
      <c r="AG224" s="2075"/>
      <c r="AH224" s="2075"/>
      <c r="AI224" s="2075"/>
      <c r="AJ224" s="2075"/>
      <c r="AK224" s="2075"/>
      <c r="AL224" s="2075"/>
      <c r="AM224" s="2075"/>
      <c r="AN224" s="2075"/>
      <c r="AO224" s="2075"/>
      <c r="AP224" s="2075"/>
      <c r="AQ224" s="2075"/>
      <c r="AR224" s="2075"/>
      <c r="AS224" s="2075"/>
      <c r="AT224" s="2075"/>
      <c r="AU224" s="2075"/>
      <c r="AV224" s="2076"/>
      <c r="AW224" s="2076"/>
      <c r="AX224" s="2076"/>
      <c r="AY224" s="2076"/>
      <c r="AZ224" s="2076"/>
      <c r="BA224" s="2076"/>
      <c r="BB224" s="2076"/>
      <c r="BC224" s="2076"/>
      <c r="BD224" s="2076"/>
      <c r="BE224" s="2076"/>
      <c r="BF224" s="2076"/>
      <c r="BG224" s="2076"/>
      <c r="BH224" s="2076"/>
      <c r="BI224" s="2076"/>
      <c r="BJ224" s="2076"/>
      <c r="BK224" s="2076"/>
      <c r="BL224" s="2076"/>
      <c r="BM224" s="2076"/>
      <c r="BN224" s="2076"/>
      <c r="BO224" s="2076"/>
      <c r="BP224" s="2076"/>
      <c r="BQ224" s="2076"/>
      <c r="BR224" s="2076"/>
      <c r="BS224" s="2076"/>
      <c r="BT224" s="2076"/>
      <c r="BU224" s="2076"/>
      <c r="BV224" s="2076"/>
      <c r="BW224" s="2076"/>
      <c r="BX224" s="2076"/>
      <c r="BY224" s="2076"/>
      <c r="BZ224" s="2076"/>
      <c r="CA224" s="2076"/>
      <c r="CB224" s="2076"/>
      <c r="CC224" s="2076"/>
      <c r="CD224" s="2076"/>
      <c r="CE224" s="2076"/>
      <c r="CF224" s="2076"/>
      <c r="CG224" s="2076"/>
      <c r="CH224" s="2076"/>
      <c r="CI224" s="2076"/>
      <c r="CJ224" s="2076"/>
      <c r="CK224" s="2076"/>
      <c r="CL224" s="2076"/>
      <c r="CM224" s="2076"/>
      <c r="CN224" s="2076"/>
      <c r="CO224" s="2076"/>
      <c r="CP224" s="2076"/>
      <c r="CQ224" s="2076"/>
      <c r="CR224" s="2076"/>
      <c r="CS224" s="2076"/>
      <c r="CT224" s="2076"/>
      <c r="CU224" s="2076"/>
      <c r="CV224" s="2076"/>
      <c r="CW224" s="2076"/>
      <c r="CX224" s="2076"/>
      <c r="CY224" s="2076"/>
      <c r="CZ224" s="2076"/>
      <c r="DA224" s="2076"/>
      <c r="DB224" s="2076"/>
      <c r="DC224" s="2076"/>
      <c r="DD224" s="2076"/>
      <c r="DE224" s="2076"/>
      <c r="DF224" s="2076"/>
      <c r="DG224" s="2076"/>
      <c r="DH224" s="2076"/>
      <c r="DI224" s="2076"/>
      <c r="DJ224" s="2076"/>
      <c r="DK224" s="2076"/>
      <c r="DL224" s="2076"/>
      <c r="DM224" s="2076"/>
      <c r="DN224" s="2076"/>
      <c r="DO224" s="2076"/>
      <c r="DP224" s="2076"/>
      <c r="DQ224" s="2076"/>
      <c r="DR224" s="2076"/>
      <c r="DS224" s="2076"/>
      <c r="DT224" s="2076"/>
      <c r="DU224" s="2076"/>
      <c r="DV224" s="2076"/>
      <c r="DW224" s="2076"/>
      <c r="DX224" s="2076"/>
      <c r="DY224" s="2076"/>
      <c r="DZ224" s="2076"/>
      <c r="EA224" s="2076"/>
      <c r="EB224" s="2076"/>
      <c r="EC224" s="2076"/>
      <c r="ED224" s="2076"/>
      <c r="EE224" s="2076"/>
      <c r="EF224" s="2076"/>
      <c r="EG224" s="2076"/>
      <c r="EH224" s="2076"/>
      <c r="EI224" s="2076"/>
      <c r="EJ224" s="2076"/>
      <c r="EK224" s="2076"/>
      <c r="EL224" s="2076"/>
      <c r="EM224" s="2076"/>
      <c r="EN224" s="2076"/>
      <c r="EO224" s="2076"/>
      <c r="EP224" s="2076"/>
      <c r="EQ224" s="2076"/>
      <c r="ER224" s="2076"/>
      <c r="ES224" s="2076"/>
      <c r="ET224" s="2076"/>
      <c r="EU224" s="2076"/>
      <c r="EV224" s="2076"/>
      <c r="EW224" s="2076"/>
      <c r="EX224" s="2076"/>
      <c r="EY224" s="2076"/>
      <c r="EZ224" s="2076"/>
      <c r="FA224" s="2076"/>
      <c r="FB224" s="2076"/>
      <c r="FC224" s="2076"/>
      <c r="FD224" s="2076"/>
      <c r="FE224" s="2076"/>
      <c r="FF224" s="2076"/>
      <c r="FG224" s="2076"/>
      <c r="FH224" s="2076"/>
      <c r="FI224" s="2076"/>
      <c r="FJ224" s="2076"/>
      <c r="FK224" s="2076"/>
      <c r="FL224" s="2076"/>
      <c r="FM224" s="2076"/>
      <c r="FN224" s="2076"/>
      <c r="FO224" s="2076"/>
      <c r="FP224" s="2076"/>
      <c r="FQ224" s="2076"/>
      <c r="FR224" s="2076"/>
      <c r="FS224" s="2076"/>
      <c r="FT224" s="2076"/>
      <c r="FU224" s="2076"/>
      <c r="FV224" s="2076"/>
      <c r="FW224" s="2076"/>
      <c r="FX224" s="2076"/>
      <c r="FY224" s="2076"/>
      <c r="FZ224" s="2076"/>
      <c r="GA224" s="2076"/>
      <c r="GB224" s="2076"/>
      <c r="GC224" s="2076"/>
      <c r="GD224" s="2076"/>
      <c r="GE224" s="2076"/>
      <c r="GF224" s="2076"/>
      <c r="GG224" s="2076"/>
      <c r="GH224" s="2076"/>
      <c r="GI224" s="2076"/>
      <c r="GJ224" s="2076"/>
      <c r="GK224" s="2076"/>
      <c r="GL224" s="2076"/>
      <c r="GM224" s="2076"/>
      <c r="GN224" s="2076"/>
      <c r="GO224" s="2076"/>
      <c r="GP224" s="2076"/>
      <c r="GQ224" s="2076"/>
      <c r="GR224" s="2076"/>
      <c r="GS224" s="2076"/>
      <c r="GT224" s="2076"/>
      <c r="GU224" s="2076"/>
      <c r="GV224" s="2076"/>
      <c r="GW224" s="2076"/>
      <c r="GX224" s="2076"/>
      <c r="GY224" s="2076"/>
      <c r="GZ224" s="2076"/>
      <c r="HA224" s="2076"/>
      <c r="HB224" s="2076"/>
      <c r="HC224" s="2076"/>
      <c r="HD224" s="2076"/>
      <c r="HE224" s="2076"/>
      <c r="HF224" s="2076"/>
      <c r="HG224" s="2076"/>
      <c r="HH224" s="2076"/>
      <c r="HI224" s="2076"/>
      <c r="HJ224" s="2076"/>
      <c r="HK224" s="2076"/>
      <c r="HL224" s="2076"/>
      <c r="HM224" s="2076"/>
      <c r="HN224" s="2076"/>
      <c r="HO224" s="2076"/>
      <c r="HP224" s="2076"/>
      <c r="HQ224" s="2076"/>
      <c r="HR224" s="2076"/>
      <c r="HS224" s="2076"/>
      <c r="HT224" s="2076"/>
      <c r="HU224" s="2076"/>
      <c r="HV224" s="2076"/>
      <c r="HW224" s="2076"/>
      <c r="HX224" s="2076"/>
      <c r="HY224" s="2076"/>
      <c r="HZ224" s="2076"/>
      <c r="IA224" s="2076"/>
      <c r="IB224" s="2076"/>
      <c r="IC224" s="2076"/>
      <c r="ID224" s="2076"/>
      <c r="IE224" s="2076"/>
      <c r="IF224" s="2076"/>
      <c r="IG224" s="2076"/>
      <c r="IH224" s="2076"/>
      <c r="II224" s="2076"/>
      <c r="IJ224" s="2076"/>
      <c r="IK224" s="2076"/>
      <c r="IL224" s="2076"/>
      <c r="IM224" s="2076"/>
      <c r="IN224" s="2076"/>
      <c r="IO224" s="2076"/>
      <c r="IP224" s="2076"/>
      <c r="IQ224" s="2076"/>
      <c r="IR224" s="2076"/>
      <c r="IS224" s="2076"/>
      <c r="IT224" s="2076"/>
      <c r="IU224" s="2076"/>
      <c r="IV224" s="2076"/>
      <c r="IW224" s="2076"/>
      <c r="IX224" s="2076"/>
      <c r="IY224" s="2076"/>
      <c r="IZ224" s="2076"/>
      <c r="JA224" s="2076"/>
      <c r="JB224" s="2076"/>
      <c r="JC224" s="2076"/>
      <c r="JD224" s="2076"/>
      <c r="JE224" s="2076"/>
      <c r="JF224" s="2076"/>
      <c r="JG224" s="2076"/>
      <c r="JH224" s="2076"/>
      <c r="JI224" s="2076"/>
      <c r="JJ224" s="2076"/>
      <c r="JK224" s="2076"/>
      <c r="JL224" s="2076"/>
      <c r="JM224" s="2076"/>
      <c r="JN224" s="2076"/>
      <c r="JO224" s="2076"/>
      <c r="JP224" s="2076"/>
      <c r="JQ224" s="2076"/>
      <c r="JR224" s="2076"/>
      <c r="JS224" s="2076"/>
      <c r="JT224" s="2076"/>
      <c r="JU224" s="2076"/>
      <c r="JV224" s="2076"/>
      <c r="JW224" s="2076"/>
      <c r="JX224" s="2076"/>
      <c r="JY224" s="2076"/>
      <c r="JZ224" s="2076"/>
      <c r="KA224" s="2076"/>
      <c r="KB224" s="2076"/>
      <c r="KC224" s="2076"/>
      <c r="KD224" s="2076"/>
      <c r="KE224" s="2076"/>
      <c r="KF224" s="2076"/>
      <c r="KG224" s="2076"/>
      <c r="KH224" s="2076"/>
      <c r="KI224" s="2076"/>
      <c r="KJ224" s="2076"/>
      <c r="KK224" s="2076"/>
      <c r="KL224" s="2076"/>
      <c r="KM224" s="2076"/>
      <c r="KN224" s="2076"/>
      <c r="KO224" s="2076"/>
      <c r="KP224" s="2076"/>
      <c r="KQ224" s="2076"/>
      <c r="KR224" s="2076"/>
      <c r="KS224" s="2076"/>
      <c r="KT224" s="2076"/>
      <c r="KU224" s="2076"/>
      <c r="KV224" s="2076"/>
      <c r="KW224" s="2076"/>
      <c r="KX224" s="2076"/>
      <c r="KY224" s="2076"/>
      <c r="KZ224" s="2076"/>
      <c r="LA224" s="2076"/>
      <c r="LB224" s="2076"/>
      <c r="LC224" s="2076"/>
      <c r="LD224" s="2076"/>
      <c r="LE224" s="2076"/>
      <c r="LF224" s="2076"/>
      <c r="LG224" s="2076"/>
      <c r="LH224" s="2076"/>
      <c r="LI224" s="2076"/>
      <c r="LJ224" s="2076"/>
      <c r="LK224" s="2076"/>
      <c r="LL224" s="2076"/>
      <c r="LM224" s="2076"/>
      <c r="LN224" s="2076"/>
      <c r="LO224" s="2076"/>
      <c r="LP224" s="2076"/>
      <c r="LQ224" s="2076"/>
      <c r="LR224" s="2076"/>
      <c r="LS224" s="2076"/>
      <c r="LT224" s="2076"/>
      <c r="LU224" s="2076"/>
      <c r="LV224" s="2076"/>
      <c r="LW224" s="2076"/>
      <c r="LX224" s="2076"/>
      <c r="LY224" s="2076"/>
      <c r="LZ224" s="2076"/>
      <c r="MA224" s="2076"/>
      <c r="MB224" s="2076"/>
      <c r="MC224" s="2076"/>
      <c r="MD224" s="2076"/>
      <c r="ME224" s="2076"/>
      <c r="MF224" s="2076"/>
      <c r="MG224" s="2076"/>
      <c r="MH224" s="2076"/>
      <c r="MI224" s="2076"/>
      <c r="MJ224" s="2076"/>
      <c r="MK224" s="2076"/>
      <c r="ML224" s="2076"/>
      <c r="MM224" s="2076"/>
      <c r="MN224" s="2076"/>
      <c r="MO224" s="2076"/>
      <c r="MP224" s="2076"/>
      <c r="MQ224" s="2076"/>
      <c r="MR224" s="2076"/>
      <c r="MS224" s="2076"/>
      <c r="MT224" s="2076"/>
      <c r="MU224" s="2076"/>
      <c r="MV224" s="2076"/>
      <c r="MW224" s="2076"/>
      <c r="MX224" s="2076"/>
      <c r="MY224" s="2076"/>
      <c r="MZ224" s="2076"/>
      <c r="NA224" s="2076"/>
      <c r="NB224" s="2076"/>
      <c r="NC224" s="2076"/>
      <c r="ND224" s="2076"/>
      <c r="NE224" s="2076"/>
      <c r="NF224" s="2076"/>
      <c r="NG224" s="2076"/>
      <c r="NH224" s="2076"/>
      <c r="NI224" s="2076"/>
      <c r="NJ224" s="2076"/>
      <c r="NK224" s="2076"/>
      <c r="NL224" s="2076"/>
      <c r="NM224" s="2076"/>
      <c r="NN224" s="2076"/>
      <c r="NO224" s="2076"/>
      <c r="NP224" s="2076"/>
      <c r="NQ224" s="2076"/>
      <c r="NR224" s="2076"/>
      <c r="NS224" s="2076"/>
      <c r="NT224" s="2076"/>
      <c r="NU224" s="2076"/>
      <c r="NV224" s="2076"/>
      <c r="NW224" s="2076"/>
      <c r="NX224" s="2076"/>
      <c r="NY224" s="2076"/>
      <c r="NZ224" s="2076"/>
      <c r="OA224" s="2076"/>
      <c r="OB224" s="2076"/>
      <c r="OC224" s="2076"/>
      <c r="OD224" s="2076"/>
      <c r="OE224" s="2076"/>
      <c r="OF224" s="2076"/>
      <c r="OG224" s="2076"/>
      <c r="OH224" s="2076"/>
      <c r="OI224" s="2076"/>
      <c r="OJ224" s="2076"/>
      <c r="OK224" s="2076"/>
      <c r="OL224" s="2076"/>
      <c r="OM224" s="2076"/>
      <c r="ON224" s="2076"/>
      <c r="OO224" s="2076"/>
      <c r="OP224" s="2076"/>
      <c r="OQ224" s="2076"/>
      <c r="OR224" s="2076"/>
      <c r="OS224" s="2076"/>
      <c r="OT224" s="2076"/>
      <c r="OU224" s="2076"/>
      <c r="OV224" s="2076"/>
      <c r="OW224" s="2076"/>
      <c r="OX224" s="2076"/>
      <c r="OY224" s="2076"/>
      <c r="OZ224" s="2076"/>
      <c r="PA224" s="2076"/>
      <c r="PB224" s="2076"/>
      <c r="PC224" s="2076"/>
      <c r="PD224" s="2076"/>
      <c r="PE224" s="2076"/>
      <c r="PF224" s="2076"/>
      <c r="PG224" s="2076"/>
      <c r="PH224" s="2076"/>
      <c r="PI224" s="2076"/>
      <c r="PJ224" s="2076"/>
      <c r="PK224" s="2076"/>
      <c r="PL224" s="2076"/>
      <c r="PM224" s="2076"/>
      <c r="PN224" s="2076"/>
      <c r="PO224" s="2076"/>
      <c r="PP224" s="2076"/>
      <c r="PQ224" s="2076"/>
      <c r="PR224" s="2076"/>
      <c r="PS224" s="2076"/>
      <c r="PT224" s="2076"/>
      <c r="PU224" s="2076"/>
      <c r="PV224" s="2076"/>
      <c r="PW224" s="2076"/>
      <c r="PX224" s="2076"/>
      <c r="PY224" s="2076"/>
      <c r="PZ224" s="2076"/>
      <c r="QA224" s="2076"/>
      <c r="QB224" s="2076"/>
      <c r="QC224" s="2076"/>
      <c r="QD224" s="2076"/>
      <c r="QE224" s="2076"/>
      <c r="QF224" s="2076"/>
      <c r="QG224" s="2076"/>
      <c r="QH224" s="2076"/>
      <c r="QI224" s="2076"/>
      <c r="QJ224" s="2076"/>
      <c r="QK224" s="2076"/>
      <c r="QL224" s="2076"/>
      <c r="QM224" s="2076"/>
      <c r="QN224" s="2076"/>
      <c r="QO224" s="2076"/>
      <c r="QP224" s="2076"/>
      <c r="QQ224" s="2076"/>
      <c r="QR224" s="2076"/>
      <c r="QS224" s="2076"/>
      <c r="QT224" s="2076"/>
      <c r="QU224" s="2076"/>
      <c r="QV224" s="2076"/>
      <c r="QW224" s="2076"/>
      <c r="QX224" s="2076"/>
      <c r="QY224" s="2076"/>
      <c r="QZ224" s="2076"/>
      <c r="RA224" s="2076"/>
      <c r="RB224" s="2076"/>
      <c r="RC224" s="2076"/>
      <c r="RD224" s="2076"/>
      <c r="RE224" s="2076"/>
      <c r="RF224" s="2076"/>
      <c r="RG224" s="2076"/>
      <c r="RH224" s="2076"/>
      <c r="RI224" s="2076"/>
      <c r="RJ224" s="2076"/>
      <c r="RK224" s="2076"/>
      <c r="RL224" s="2076"/>
      <c r="RM224" s="2076"/>
      <c r="RN224" s="2076"/>
      <c r="RO224" s="2076"/>
      <c r="RP224" s="2076"/>
      <c r="RQ224" s="2076"/>
      <c r="RR224" s="2076"/>
      <c r="RS224" s="2076"/>
      <c r="RT224" s="2076"/>
      <c r="RU224" s="2076"/>
      <c r="RV224" s="2076"/>
      <c r="RW224" s="2076"/>
      <c r="RX224" s="2076"/>
      <c r="RY224" s="2076"/>
      <c r="RZ224" s="2076"/>
      <c r="SA224" s="2076"/>
      <c r="SB224" s="2076"/>
      <c r="SC224" s="2076"/>
      <c r="SD224" s="2076"/>
      <c r="SE224" s="2076"/>
      <c r="SF224" s="2076"/>
      <c r="SG224" s="2076"/>
      <c r="SH224" s="2076"/>
      <c r="SI224" s="2076"/>
      <c r="SJ224" s="2076"/>
      <c r="SK224" s="2076"/>
      <c r="SL224" s="2076"/>
      <c r="SM224" s="2076"/>
      <c r="SN224" s="2076"/>
      <c r="SO224" s="2076"/>
      <c r="SP224" s="2076"/>
      <c r="SQ224" s="2076"/>
      <c r="SR224" s="2076"/>
      <c r="SS224" s="2076"/>
      <c r="ST224" s="2076"/>
      <c r="SU224" s="2076"/>
      <c r="SV224" s="2076"/>
      <c r="SW224" s="2076"/>
      <c r="SX224" s="2076"/>
      <c r="SY224" s="2076"/>
      <c r="SZ224" s="2076"/>
      <c r="TA224" s="2076"/>
      <c r="TB224" s="2076"/>
      <c r="TC224" s="2076"/>
      <c r="TD224" s="2076"/>
      <c r="TE224" s="2076"/>
      <c r="TF224" s="2076"/>
      <c r="TG224" s="2076"/>
      <c r="TH224" s="2076"/>
      <c r="TI224" s="2076"/>
      <c r="TJ224" s="2076"/>
      <c r="TK224" s="2076"/>
      <c r="TL224" s="2076"/>
      <c r="TM224" s="2076"/>
      <c r="TN224" s="2076"/>
      <c r="TO224" s="2076"/>
      <c r="TP224" s="2076"/>
      <c r="TQ224" s="2076"/>
      <c r="TR224" s="2076"/>
      <c r="TS224" s="2076"/>
      <c r="TT224" s="2076"/>
      <c r="TU224" s="2076"/>
      <c r="TV224" s="2076"/>
      <c r="TW224" s="2076"/>
      <c r="TX224" s="2076"/>
      <c r="TY224" s="2076"/>
      <c r="TZ224" s="2076"/>
      <c r="UA224" s="2076"/>
      <c r="UB224" s="2076"/>
      <c r="UC224" s="2076"/>
      <c r="UD224" s="2076"/>
      <c r="UE224" s="2076"/>
      <c r="UF224" s="2076"/>
      <c r="UG224" s="2076"/>
      <c r="UH224" s="2076"/>
      <c r="UI224" s="2076"/>
      <c r="UJ224" s="2076"/>
      <c r="UK224" s="2076"/>
      <c r="UL224" s="2076"/>
      <c r="UM224" s="2076"/>
      <c r="UN224" s="2076"/>
      <c r="UO224" s="2076"/>
      <c r="UP224" s="2076"/>
      <c r="UQ224" s="2076"/>
      <c r="UR224" s="2076"/>
      <c r="US224" s="2076"/>
      <c r="UT224" s="2076"/>
      <c r="UU224" s="2076"/>
      <c r="UV224" s="2076"/>
      <c r="UW224" s="2076"/>
      <c r="UX224" s="2076"/>
      <c r="UY224" s="2076"/>
      <c r="UZ224" s="2076"/>
      <c r="VA224" s="2076"/>
      <c r="VB224" s="2076"/>
      <c r="VC224" s="2076"/>
      <c r="VD224" s="2076"/>
      <c r="VE224" s="2076"/>
      <c r="VF224" s="2076"/>
      <c r="VG224" s="2076"/>
      <c r="VH224" s="2076"/>
      <c r="VI224" s="2076"/>
      <c r="VJ224" s="2076"/>
      <c r="VK224" s="2076"/>
      <c r="VL224" s="2076"/>
      <c r="VM224" s="2076"/>
      <c r="VN224" s="2076"/>
      <c r="VO224" s="2076"/>
      <c r="VP224" s="2076"/>
      <c r="VQ224" s="2076"/>
      <c r="VR224" s="2076"/>
      <c r="VS224" s="2076"/>
      <c r="VT224" s="2076"/>
      <c r="VU224" s="2076"/>
      <c r="VV224" s="2076"/>
      <c r="VW224" s="2076"/>
      <c r="VX224" s="2076"/>
      <c r="VY224" s="2076"/>
      <c r="VZ224" s="2076"/>
      <c r="WA224" s="2076"/>
      <c r="WB224" s="2076"/>
      <c r="WC224" s="2076"/>
      <c r="WD224" s="2076"/>
      <c r="WE224" s="2076"/>
      <c r="WF224" s="2076"/>
      <c r="WG224" s="2076"/>
      <c r="WH224" s="2076"/>
      <c r="WI224" s="2076"/>
      <c r="WJ224" s="2076"/>
      <c r="WK224" s="2076"/>
      <c r="WL224" s="2076"/>
      <c r="WM224" s="2076"/>
      <c r="WN224" s="2076"/>
      <c r="WO224" s="2076"/>
      <c r="WP224" s="2076"/>
      <c r="WQ224" s="2076"/>
      <c r="WR224" s="2076"/>
      <c r="WS224" s="2076"/>
      <c r="WT224" s="2076"/>
      <c r="WU224" s="2076"/>
      <c r="WV224" s="2076"/>
      <c r="WW224" s="2076"/>
      <c r="WX224" s="2076"/>
      <c r="WY224" s="2076"/>
      <c r="WZ224" s="2076"/>
      <c r="XA224" s="2076"/>
      <c r="XB224" s="2076"/>
      <c r="XC224" s="2076"/>
      <c r="XD224" s="2076"/>
      <c r="XE224" s="2076"/>
      <c r="XF224" s="2076"/>
      <c r="XG224" s="2076"/>
      <c r="XH224" s="2076"/>
      <c r="XI224" s="2076"/>
      <c r="XJ224" s="2076"/>
      <c r="XK224" s="2076"/>
      <c r="XL224" s="2076"/>
      <c r="XM224" s="2076"/>
      <c r="XN224" s="2076"/>
      <c r="XO224" s="2076"/>
      <c r="XP224" s="2076"/>
      <c r="XQ224" s="2076"/>
      <c r="XR224" s="2076"/>
      <c r="XS224" s="2076"/>
      <c r="XT224" s="2076"/>
      <c r="XU224" s="2076"/>
      <c r="XV224" s="2076"/>
      <c r="XW224" s="2076"/>
      <c r="XX224" s="2076"/>
      <c r="XY224" s="2076"/>
      <c r="XZ224" s="2076"/>
      <c r="YA224" s="2076"/>
      <c r="YB224" s="2076"/>
      <c r="YC224" s="2076"/>
      <c r="YD224" s="2076"/>
      <c r="YE224" s="2076"/>
      <c r="YF224" s="2076"/>
      <c r="YG224" s="2076"/>
      <c r="YH224" s="2076"/>
      <c r="YI224" s="2076"/>
      <c r="YJ224" s="2076"/>
      <c r="YK224" s="2076"/>
      <c r="YL224" s="2076"/>
      <c r="YM224" s="2076"/>
      <c r="YN224" s="2076"/>
      <c r="YO224" s="2076"/>
      <c r="YP224" s="2076"/>
      <c r="YQ224" s="2076"/>
      <c r="YR224" s="2076"/>
      <c r="YS224" s="2076"/>
      <c r="YT224" s="2076"/>
      <c r="YU224" s="2076"/>
      <c r="YV224" s="2076"/>
      <c r="YW224" s="2076"/>
      <c r="YX224" s="2076"/>
      <c r="YY224" s="2076"/>
      <c r="YZ224" s="2076"/>
      <c r="ZA224" s="2076"/>
      <c r="ZB224" s="2076"/>
      <c r="ZC224" s="2076"/>
      <c r="ZD224" s="2076"/>
      <c r="ZE224" s="2076"/>
      <c r="ZF224" s="2076"/>
      <c r="ZG224" s="2076"/>
      <c r="ZH224" s="2076"/>
      <c r="ZI224" s="2076"/>
      <c r="ZJ224" s="2076"/>
      <c r="ZK224" s="2076"/>
      <c r="ZL224" s="2076"/>
      <c r="ZM224" s="2076"/>
      <c r="ZN224" s="2076"/>
      <c r="ZO224" s="2076"/>
      <c r="ZP224" s="2076"/>
      <c r="ZQ224" s="2076"/>
      <c r="ZR224" s="2076"/>
      <c r="ZS224" s="2076"/>
      <c r="ZT224" s="2076"/>
      <c r="ZU224" s="2076"/>
      <c r="ZV224" s="2076"/>
      <c r="ZW224" s="2076"/>
      <c r="ZX224" s="2076"/>
      <c r="ZY224" s="2076"/>
      <c r="ZZ224" s="2076"/>
      <c r="AAA224" s="2076"/>
      <c r="AAB224" s="2076"/>
      <c r="AAC224" s="2076"/>
      <c r="AAD224" s="2076"/>
      <c r="AAE224" s="2076"/>
      <c r="AAF224" s="2076"/>
      <c r="AAG224" s="2076"/>
      <c r="AAH224" s="2076"/>
      <c r="AAI224" s="2076"/>
      <c r="AAJ224" s="2076"/>
      <c r="AAK224" s="2076"/>
      <c r="AAL224" s="2076"/>
      <c r="AAM224" s="2076"/>
      <c r="AAN224" s="2076"/>
      <c r="AAO224" s="2076"/>
      <c r="AAP224" s="2076"/>
      <c r="AAQ224" s="2076"/>
      <c r="AAR224" s="2076"/>
      <c r="AAS224" s="2076"/>
      <c r="AAT224" s="2076"/>
      <c r="AAU224" s="2076"/>
      <c r="AAV224" s="2076"/>
      <c r="AAW224" s="2076"/>
      <c r="AAX224" s="2076"/>
      <c r="AAY224" s="2076"/>
      <c r="AAZ224" s="2076"/>
      <c r="ABA224" s="2076"/>
      <c r="ABB224" s="2076"/>
      <c r="ABC224" s="2076"/>
      <c r="ABD224" s="2076"/>
      <c r="ABE224" s="2076"/>
      <c r="ABF224" s="2076"/>
      <c r="ABG224" s="2076"/>
      <c r="ABH224" s="2076"/>
      <c r="ABI224" s="2076"/>
      <c r="ABJ224" s="2076"/>
      <c r="ABK224" s="2076"/>
      <c r="ABL224" s="2076"/>
      <c r="ABM224" s="2076"/>
      <c r="ABN224" s="2076"/>
      <c r="ABO224" s="2076"/>
      <c r="ABP224" s="2076"/>
      <c r="ABQ224" s="2076"/>
      <c r="ABR224" s="2076"/>
      <c r="ABS224" s="2076"/>
      <c r="ABT224" s="2076"/>
      <c r="ABU224" s="2076"/>
      <c r="ABV224" s="2076"/>
      <c r="ABW224" s="2076"/>
      <c r="ABX224" s="2076"/>
      <c r="ABY224" s="2076"/>
      <c r="ABZ224" s="2076"/>
      <c r="ACA224" s="2076"/>
      <c r="ACB224" s="2076"/>
      <c r="ACC224" s="2076"/>
      <c r="ACD224" s="2076"/>
      <c r="ACE224" s="2076"/>
      <c r="ACF224" s="2076"/>
      <c r="ACG224" s="2076"/>
      <c r="ACH224" s="2076"/>
      <c r="ACI224" s="2076"/>
      <c r="ACJ224" s="2076"/>
      <c r="ACK224" s="2076"/>
      <c r="ACL224" s="2076"/>
      <c r="ACM224" s="2076"/>
      <c r="ACN224" s="2076"/>
      <c r="ACO224" s="2076"/>
      <c r="ACP224" s="2076"/>
      <c r="ACQ224" s="2076"/>
      <c r="ACR224" s="2076"/>
      <c r="ACS224" s="2076"/>
      <c r="ACT224" s="2076"/>
      <c r="ACU224" s="2076"/>
      <c r="ACV224" s="2076"/>
      <c r="ACW224" s="2076"/>
      <c r="ACX224" s="2076"/>
      <c r="ACY224" s="2076"/>
      <c r="ACZ224" s="2076"/>
      <c r="ADA224" s="2076"/>
      <c r="ADB224" s="2076"/>
      <c r="ADC224" s="2076"/>
      <c r="ADD224" s="2076"/>
      <c r="ADE224" s="2076"/>
      <c r="ADF224" s="2076"/>
      <c r="ADG224" s="2076"/>
      <c r="ADH224" s="2076"/>
      <c r="ADI224" s="2076"/>
      <c r="ADJ224" s="2076"/>
      <c r="ADK224" s="2076"/>
      <c r="ADL224" s="2076"/>
      <c r="ADM224" s="2076"/>
      <c r="ADN224" s="2076"/>
      <c r="ADO224" s="2076"/>
      <c r="ADP224" s="2076"/>
      <c r="ADQ224" s="2076"/>
      <c r="ADR224" s="2076"/>
      <c r="ADS224" s="2076"/>
      <c r="ADT224" s="2076"/>
      <c r="ADU224" s="2076"/>
      <c r="ADV224" s="2076"/>
      <c r="ADW224" s="2076"/>
      <c r="ADX224" s="2076"/>
      <c r="ADY224" s="2076"/>
      <c r="ADZ224" s="2076"/>
      <c r="AEA224" s="2076"/>
      <c r="AEB224" s="2076"/>
      <c r="AEC224" s="2076"/>
      <c r="AED224" s="2076"/>
      <c r="AEE224" s="2076"/>
      <c r="AEF224" s="2076"/>
      <c r="AEG224" s="2076"/>
      <c r="AEH224" s="2076"/>
      <c r="AEI224" s="2076"/>
      <c r="AEJ224" s="2076"/>
      <c r="AEK224" s="2076"/>
      <c r="AEL224" s="2076"/>
      <c r="AEM224" s="2076"/>
      <c r="AEN224" s="2076"/>
      <c r="AEO224" s="2076"/>
      <c r="AEP224" s="2076"/>
      <c r="AEQ224" s="2076"/>
      <c r="AER224" s="2076"/>
      <c r="AES224" s="2076"/>
      <c r="AET224" s="2076"/>
      <c r="AEU224" s="2076"/>
      <c r="AEV224" s="2076"/>
      <c r="AEW224" s="2076"/>
      <c r="AEX224" s="2076"/>
      <c r="AEY224" s="2076"/>
      <c r="AEZ224" s="2076"/>
      <c r="AFA224" s="2076"/>
      <c r="AFB224" s="2076"/>
      <c r="AFC224" s="2076"/>
      <c r="AFD224" s="2076"/>
      <c r="AFE224" s="2076"/>
      <c r="AFF224" s="2076"/>
      <c r="AFG224" s="2076"/>
      <c r="AFH224" s="2076"/>
      <c r="AFI224" s="2076"/>
      <c r="AFJ224" s="2076"/>
      <c r="AFK224" s="2076"/>
      <c r="AFL224" s="2076"/>
      <c r="AFM224" s="2076"/>
      <c r="AFN224" s="2076"/>
      <c r="AFO224" s="2076"/>
      <c r="AFP224" s="2076"/>
      <c r="AFQ224" s="2076"/>
      <c r="AFR224" s="2076"/>
      <c r="AFS224" s="2076"/>
      <c r="AFT224" s="2076"/>
      <c r="AFU224" s="2076"/>
      <c r="AFV224" s="2076"/>
      <c r="AFW224" s="2076"/>
      <c r="AFX224" s="2076"/>
      <c r="AFY224" s="2076"/>
      <c r="AFZ224" s="2076"/>
      <c r="AGA224" s="2076"/>
      <c r="AGB224" s="2076"/>
      <c r="AGC224" s="2076"/>
      <c r="AGD224" s="2076"/>
      <c r="AGE224" s="2076"/>
      <c r="AGF224" s="2076"/>
      <c r="AGG224" s="2076"/>
      <c r="AGH224" s="2076"/>
      <c r="AGI224" s="2076"/>
      <c r="AGJ224" s="2076"/>
      <c r="AGK224" s="2076"/>
      <c r="AGL224" s="2076"/>
      <c r="AGM224" s="2076"/>
      <c r="AGN224" s="2076"/>
      <c r="AGO224" s="2076"/>
      <c r="AGP224" s="2076"/>
      <c r="AGQ224" s="2076"/>
      <c r="AGR224" s="2076"/>
      <c r="AGS224" s="2076"/>
      <c r="AGT224" s="2076"/>
      <c r="AGU224" s="2076"/>
      <c r="AGV224" s="2076"/>
      <c r="AGW224" s="2076"/>
      <c r="AGX224" s="2076"/>
      <c r="AGY224" s="2076"/>
      <c r="AGZ224" s="2076"/>
      <c r="AHA224" s="2076"/>
      <c r="AHB224" s="2076"/>
      <c r="AHC224" s="2076"/>
      <c r="AHD224" s="2076"/>
      <c r="AHE224" s="2076"/>
      <c r="AHF224" s="2076"/>
      <c r="AHG224" s="2076"/>
      <c r="AHH224" s="2076"/>
      <c r="AHI224" s="2076"/>
      <c r="AHJ224" s="2076"/>
      <c r="AHK224" s="2076"/>
      <c r="AHL224" s="2076"/>
      <c r="AHM224" s="2076"/>
      <c r="AHN224" s="2076"/>
      <c r="AHO224" s="2076"/>
      <c r="AHP224" s="2076"/>
      <c r="AHQ224" s="2076"/>
      <c r="AHR224" s="2076"/>
      <c r="AHS224" s="2076"/>
      <c r="AHT224" s="2076"/>
      <c r="AHU224" s="2076"/>
      <c r="AHV224" s="2076"/>
      <c r="AHW224" s="2076"/>
      <c r="AHX224" s="2076"/>
      <c r="AHY224" s="2076"/>
      <c r="AHZ224" s="2076"/>
      <c r="AIA224" s="2076"/>
      <c r="AIB224" s="2076"/>
      <c r="AIC224" s="2076"/>
      <c r="AID224" s="2076"/>
      <c r="AIE224" s="2076"/>
      <c r="AIF224" s="2076"/>
      <c r="AIG224" s="2076"/>
      <c r="AIH224" s="2076"/>
      <c r="AII224" s="2076"/>
      <c r="AIJ224" s="2076"/>
      <c r="AIK224" s="2076"/>
      <c r="AIL224" s="2076"/>
      <c r="AIM224" s="2076"/>
      <c r="AIN224" s="2076"/>
      <c r="AIO224" s="2076"/>
      <c r="AIP224" s="2076"/>
      <c r="AIQ224" s="2076"/>
      <c r="AIR224" s="2076"/>
      <c r="AIS224" s="2076"/>
      <c r="AIT224" s="2076"/>
      <c r="AIU224" s="2076"/>
      <c r="AIV224" s="2076"/>
      <c r="AIW224" s="2076"/>
      <c r="AIX224" s="2076"/>
      <c r="AIY224" s="2076"/>
      <c r="AIZ224" s="2076"/>
      <c r="AJA224" s="2076"/>
      <c r="AJB224" s="2076"/>
      <c r="AJC224" s="2076"/>
      <c r="AJD224" s="2076"/>
      <c r="AJE224" s="2076"/>
      <c r="AJF224" s="2076"/>
      <c r="AJG224" s="2076"/>
      <c r="AJH224" s="2076"/>
      <c r="AJI224" s="2076"/>
      <c r="AJJ224" s="2076"/>
      <c r="AJK224" s="2076"/>
      <c r="AJL224" s="2076"/>
      <c r="AJM224" s="2076"/>
      <c r="AJN224" s="2076"/>
      <c r="AJO224" s="2076"/>
      <c r="AJP224" s="2076"/>
      <c r="AJQ224" s="2076"/>
      <c r="AJR224" s="2076"/>
      <c r="AJS224" s="2076"/>
      <c r="AJT224" s="2076"/>
      <c r="AJU224" s="2076"/>
      <c r="AJV224" s="2076"/>
      <c r="AJW224" s="2076"/>
      <c r="AJX224" s="2076"/>
      <c r="AJY224" s="2076"/>
      <c r="AJZ224" s="2076"/>
      <c r="AKA224" s="2076"/>
      <c r="AKB224" s="2076"/>
      <c r="AKC224" s="2076"/>
      <c r="AKD224" s="2076"/>
      <c r="AKE224" s="2076"/>
      <c r="AKF224" s="2076"/>
      <c r="AKG224" s="2076"/>
      <c r="AKH224" s="2076"/>
      <c r="AKI224" s="2076"/>
      <c r="AKJ224" s="2076"/>
      <c r="AKK224" s="2076"/>
      <c r="AKL224" s="2076"/>
      <c r="AKM224" s="2076"/>
      <c r="AKN224" s="2076"/>
      <c r="AKO224" s="2076"/>
      <c r="AKP224" s="2076"/>
      <c r="AKQ224" s="2076"/>
      <c r="AKR224" s="2076"/>
      <c r="AKS224" s="2076"/>
      <c r="AKT224" s="2076"/>
      <c r="AKU224" s="2076"/>
      <c r="AKV224" s="2076"/>
      <c r="AKW224" s="2076"/>
      <c r="AKX224" s="2076"/>
      <c r="AKY224" s="2076"/>
      <c r="AKZ224" s="2076"/>
      <c r="ALA224" s="2076"/>
      <c r="ALB224" s="2076"/>
      <c r="ALC224" s="2076"/>
      <c r="ALD224" s="2076"/>
      <c r="ALE224" s="2076"/>
      <c r="ALF224" s="2076"/>
      <c r="ALG224" s="2076"/>
      <c r="ALH224" s="2076"/>
      <c r="ALI224" s="2076"/>
      <c r="ALJ224" s="2076"/>
      <c r="ALK224" s="2076"/>
      <c r="ALL224" s="2076"/>
      <c r="ALM224" s="2076"/>
      <c r="ALN224" s="2076"/>
      <c r="ALO224" s="2076"/>
      <c r="ALP224" s="2076"/>
      <c r="ALQ224" s="2076"/>
      <c r="ALR224" s="2076"/>
      <c r="ALS224" s="2076"/>
      <c r="ALT224" s="2076"/>
      <c r="ALU224" s="2076"/>
      <c r="ALV224" s="2076"/>
      <c r="ALW224" s="2076"/>
      <c r="ALX224" s="2076"/>
      <c r="ALY224" s="2076"/>
      <c r="ALZ224" s="2076"/>
      <c r="AMA224" s="2076"/>
      <c r="AMB224" s="2076"/>
      <c r="AMC224" s="2076"/>
      <c r="AMD224" s="2076"/>
      <c r="AME224" s="2076"/>
      <c r="AMF224" s="2076"/>
      <c r="AMG224" s="2076"/>
      <c r="AMH224" s="2076"/>
      <c r="AMI224" s="2076"/>
      <c r="AMJ224" s="2076"/>
      <c r="AMK224" s="2076"/>
      <c r="AML224" s="2076"/>
      <c r="AMM224" s="2076"/>
      <c r="AMN224" s="2076"/>
      <c r="AMO224" s="2076"/>
      <c r="AMP224" s="2076"/>
      <c r="AMQ224" s="2076"/>
      <c r="AMR224" s="2076"/>
      <c r="AMS224" s="2076"/>
      <c r="AMT224" s="2076"/>
      <c r="AMU224" s="2076"/>
      <c r="AMV224" s="2076"/>
      <c r="AMW224" s="2076"/>
      <c r="AMX224" s="2076"/>
      <c r="AMY224" s="2076"/>
      <c r="AMZ224" s="2076"/>
      <c r="ANA224" s="2076"/>
      <c r="ANB224" s="2076"/>
      <c r="ANC224" s="2076"/>
      <c r="AND224" s="2076"/>
      <c r="ANE224" s="2076"/>
      <c r="ANF224" s="2076"/>
      <c r="ANG224" s="2076"/>
      <c r="ANH224" s="2076"/>
      <c r="ANI224" s="2076"/>
      <c r="ANJ224" s="2076"/>
      <c r="ANK224" s="2076"/>
      <c r="ANL224" s="2076"/>
      <c r="ANM224" s="2076"/>
      <c r="ANN224" s="2076"/>
      <c r="ANO224" s="2076"/>
      <c r="ANP224" s="2076"/>
      <c r="ANQ224" s="2076"/>
      <c r="ANR224" s="2076"/>
      <c r="ANS224" s="2076"/>
      <c r="ANT224" s="2076"/>
      <c r="ANU224" s="2076"/>
      <c r="ANV224" s="2076"/>
      <c r="ANW224" s="2076"/>
      <c r="ANX224" s="2076"/>
      <c r="ANY224" s="2076"/>
      <c r="ANZ224" s="2076"/>
      <c r="AOA224" s="2076"/>
      <c r="AOB224" s="2076"/>
      <c r="AOC224" s="2076"/>
      <c r="AOD224" s="2076"/>
      <c r="AOE224" s="2076"/>
      <c r="AOF224" s="2076"/>
      <c r="AOG224" s="2076"/>
      <c r="AOH224" s="2076"/>
      <c r="AOI224" s="2076"/>
      <c r="AOJ224" s="2076"/>
      <c r="AOK224" s="2076"/>
      <c r="AOL224" s="2076"/>
      <c r="AOM224" s="2076"/>
      <c r="AON224" s="2076"/>
      <c r="AOO224" s="2076"/>
      <c r="AOP224" s="2076"/>
      <c r="AOQ224" s="2076"/>
      <c r="AOR224" s="2076"/>
      <c r="AOS224" s="2076"/>
      <c r="AOT224" s="2076"/>
      <c r="AOU224" s="2076"/>
      <c r="AOV224" s="2076"/>
      <c r="AOW224" s="2076"/>
      <c r="AOX224" s="2076"/>
      <c r="AOY224" s="2076"/>
      <c r="AOZ224" s="2076"/>
      <c r="APA224" s="2076"/>
      <c r="APB224" s="2076"/>
      <c r="APC224" s="2076"/>
      <c r="APD224" s="2076"/>
      <c r="APE224" s="2076"/>
      <c r="APF224" s="2076"/>
      <c r="APG224" s="2076"/>
      <c r="APH224" s="2076"/>
      <c r="API224" s="2076"/>
      <c r="APJ224" s="2076"/>
      <c r="APK224" s="2076"/>
      <c r="APL224" s="2076"/>
      <c r="APM224" s="2076"/>
      <c r="APN224" s="2076"/>
      <c r="APO224" s="2076"/>
      <c r="APP224" s="2076"/>
      <c r="APQ224" s="2076"/>
      <c r="APR224" s="2076"/>
      <c r="APS224" s="2076"/>
      <c r="APT224" s="2076"/>
      <c r="APU224" s="2076"/>
      <c r="APV224" s="2076"/>
      <c r="APW224" s="2076"/>
      <c r="APX224" s="2076"/>
      <c r="APY224" s="2076"/>
      <c r="APZ224" s="2076"/>
      <c r="AQA224" s="2076"/>
      <c r="AQB224" s="2076"/>
      <c r="AQC224" s="2076"/>
      <c r="AQD224" s="2076"/>
      <c r="AQE224" s="2076"/>
      <c r="AQF224" s="2076"/>
      <c r="AQG224" s="2076"/>
      <c r="AQH224" s="2076"/>
      <c r="AQI224" s="2076"/>
      <c r="AQJ224" s="2076"/>
      <c r="AQK224" s="2076"/>
      <c r="AQL224" s="2076"/>
      <c r="AQM224" s="2076"/>
      <c r="AQN224" s="2076"/>
      <c r="AQO224" s="2076"/>
      <c r="AQP224" s="2076"/>
      <c r="AQQ224" s="2076"/>
      <c r="AQR224" s="2076"/>
      <c r="AQS224" s="2076"/>
      <c r="AQT224" s="2076"/>
      <c r="AQU224" s="2076"/>
      <c r="AQV224" s="2076"/>
      <c r="AQW224" s="2076"/>
      <c r="AQX224" s="2076"/>
      <c r="AQY224" s="2076"/>
      <c r="AQZ224" s="2076"/>
      <c r="ARA224" s="2076"/>
      <c r="ARB224" s="2076"/>
      <c r="ARC224" s="2076"/>
      <c r="ARD224" s="2076"/>
      <c r="ARE224" s="2076"/>
      <c r="ARF224" s="2076"/>
      <c r="ARG224" s="2076"/>
      <c r="ARH224" s="2076"/>
      <c r="ARI224" s="2076"/>
      <c r="ARJ224" s="2076"/>
      <c r="ARK224" s="2076"/>
      <c r="ARL224" s="2076"/>
      <c r="ARM224" s="2076"/>
      <c r="ARN224" s="2076"/>
      <c r="ARO224" s="2076"/>
      <c r="ARP224" s="2076"/>
      <c r="ARQ224" s="2076"/>
      <c r="ARR224" s="2076"/>
      <c r="ARS224" s="2076"/>
      <c r="ART224" s="2076"/>
      <c r="ARU224" s="2076"/>
      <c r="ARV224" s="2076"/>
      <c r="ARW224" s="2076"/>
      <c r="ARX224" s="2076"/>
      <c r="ARY224" s="2076"/>
      <c r="ARZ224" s="2076"/>
      <c r="ASA224" s="2076"/>
      <c r="ASB224" s="2076"/>
      <c r="ASC224" s="2076"/>
      <c r="ASD224" s="2076"/>
      <c r="ASE224" s="2076"/>
      <c r="ASF224" s="2076"/>
      <c r="ASG224" s="2076"/>
      <c r="ASH224" s="2076"/>
      <c r="ASI224" s="2076"/>
      <c r="ASJ224" s="2076"/>
      <c r="ASK224" s="2076"/>
      <c r="ASL224" s="2076"/>
      <c r="ASM224" s="2076"/>
      <c r="ASN224" s="2076"/>
      <c r="ASO224" s="2076"/>
      <c r="ASP224" s="2076"/>
      <c r="ASQ224" s="2076"/>
      <c r="ASR224" s="2076"/>
      <c r="ASS224" s="2076"/>
      <c r="AST224" s="2076"/>
      <c r="ASU224" s="2076"/>
      <c r="ASV224" s="2076"/>
      <c r="ASW224" s="2076"/>
      <c r="ASX224" s="2076"/>
      <c r="ASY224" s="2076"/>
      <c r="ASZ224" s="2076"/>
      <c r="ATA224" s="2076"/>
      <c r="ATB224" s="2076"/>
      <c r="ATC224" s="2076"/>
      <c r="ATD224" s="2076"/>
      <c r="ATE224" s="2076"/>
      <c r="ATF224" s="2076"/>
      <c r="ATG224" s="2076"/>
      <c r="ATH224" s="2076"/>
      <c r="ATI224" s="2076"/>
      <c r="ATJ224" s="2076"/>
      <c r="ATK224" s="2076"/>
      <c r="ATL224" s="2076"/>
      <c r="ATM224" s="2076"/>
      <c r="ATN224" s="2076"/>
      <c r="ATO224" s="2076"/>
      <c r="ATP224" s="2076"/>
      <c r="ATQ224" s="2076"/>
      <c r="ATR224" s="2076"/>
      <c r="ATS224" s="2076"/>
      <c r="ATT224" s="2076"/>
      <c r="ATU224" s="2076"/>
      <c r="ATV224" s="2076"/>
      <c r="ATW224" s="2076"/>
      <c r="ATX224" s="2076"/>
      <c r="ATY224" s="2076"/>
      <c r="ATZ224" s="2076"/>
      <c r="AUA224" s="2076"/>
      <c r="AUB224" s="2076"/>
      <c r="AUC224" s="2076"/>
      <c r="AUD224" s="2076"/>
      <c r="AUE224" s="2076"/>
      <c r="AUF224" s="2076"/>
      <c r="AUG224" s="2076"/>
      <c r="AUH224" s="2076"/>
      <c r="AUI224" s="2076"/>
      <c r="AUJ224" s="2076"/>
      <c r="AUK224" s="2076"/>
      <c r="AUL224" s="2076"/>
      <c r="AUM224" s="2076"/>
      <c r="AUN224" s="2076"/>
      <c r="AUO224" s="2076"/>
      <c r="AUP224" s="2076"/>
      <c r="AUQ224" s="2076"/>
      <c r="AUR224" s="2076"/>
      <c r="AUS224" s="2076"/>
      <c r="AUT224" s="2076"/>
      <c r="AUU224" s="2076"/>
      <c r="AUV224" s="2076"/>
      <c r="AUW224" s="2076"/>
      <c r="AUX224" s="2076"/>
      <c r="AUY224" s="2076"/>
      <c r="AUZ224" s="2076"/>
      <c r="AVA224" s="2076"/>
      <c r="AVB224" s="2076"/>
      <c r="AVC224" s="2076"/>
      <c r="AVD224" s="2076"/>
      <c r="AVE224" s="2076"/>
      <c r="AVF224" s="2076"/>
      <c r="AVG224" s="2076"/>
      <c r="AVH224" s="2076"/>
      <c r="AVI224" s="2076"/>
      <c r="AVJ224" s="2076"/>
      <c r="AVK224" s="2076"/>
      <c r="AVL224" s="2076"/>
      <c r="AVM224" s="2076"/>
      <c r="AVN224" s="2076"/>
      <c r="AVO224" s="2076"/>
      <c r="AVP224" s="2076"/>
      <c r="AVQ224" s="2076"/>
      <c r="AVR224" s="2076"/>
      <c r="AVS224" s="2076"/>
      <c r="AVT224" s="2076"/>
      <c r="AVU224" s="2076"/>
      <c r="AVV224" s="2076"/>
      <c r="AVW224" s="2076"/>
      <c r="AVX224" s="2076"/>
      <c r="AVY224" s="2076"/>
      <c r="AVZ224" s="2076"/>
      <c r="AWA224" s="2076"/>
      <c r="AWB224" s="2076"/>
      <c r="AWC224" s="2076"/>
      <c r="AWD224" s="2076"/>
      <c r="AWE224" s="2076"/>
      <c r="AWF224" s="2076"/>
      <c r="AWG224" s="2076"/>
      <c r="AWH224" s="2076"/>
      <c r="AWI224" s="2076"/>
      <c r="AWJ224" s="2076"/>
      <c r="AWK224" s="2076"/>
      <c r="AWL224" s="2076"/>
      <c r="AWM224" s="2076"/>
      <c r="AWN224" s="2076"/>
      <c r="AWO224" s="2076"/>
      <c r="AWP224" s="2076"/>
      <c r="AWQ224" s="2076"/>
      <c r="AWR224" s="2076"/>
      <c r="AWS224" s="2076"/>
      <c r="AWT224" s="2076"/>
      <c r="AWU224" s="2076"/>
      <c r="AWV224" s="2076"/>
      <c r="AWW224" s="2076"/>
      <c r="AWX224" s="2076"/>
      <c r="AWY224" s="2076"/>
      <c r="AWZ224" s="2076"/>
      <c r="AXA224" s="2076"/>
      <c r="AXB224" s="2076"/>
      <c r="AXC224" s="2076"/>
      <c r="AXD224" s="2076"/>
      <c r="AXE224" s="2076"/>
      <c r="AXF224" s="2076"/>
      <c r="AXG224" s="2076"/>
      <c r="AXH224" s="2076"/>
      <c r="AXI224" s="2076"/>
      <c r="AXJ224" s="2076"/>
    </row>
    <row r="225" spans="1:1310" s="2077" customFormat="1" ht="23.25" customHeight="1">
      <c r="A225" s="2092"/>
      <c r="B225" s="3238" t="s">
        <v>2357</v>
      </c>
      <c r="C225" s="3238"/>
      <c r="D225" s="3238"/>
      <c r="E225" s="3238"/>
      <c r="F225" s="2085"/>
      <c r="G225" s="3238" t="s">
        <v>2358</v>
      </c>
      <c r="H225" s="3238"/>
      <c r="I225" s="3238"/>
      <c r="J225" s="2085"/>
      <c r="K225" s="3238" t="s">
        <v>2359</v>
      </c>
      <c r="L225" s="3238"/>
      <c r="M225" s="3238"/>
      <c r="N225" s="2085"/>
      <c r="O225" s="3238" t="s">
        <v>2360</v>
      </c>
      <c r="P225" s="3238"/>
      <c r="Q225" s="2085"/>
      <c r="R225" s="755"/>
      <c r="S225" s="755"/>
      <c r="T225" s="755"/>
      <c r="U225" s="755"/>
      <c r="V225" s="755"/>
      <c r="W225" s="755"/>
      <c r="X225" s="755"/>
      <c r="Y225" s="755"/>
      <c r="Z225" s="755"/>
      <c r="AA225" s="755"/>
      <c r="AB225" s="755"/>
      <c r="AC225" s="755"/>
      <c r="AD225" s="2075"/>
      <c r="AE225" s="2075"/>
      <c r="AF225" s="2075"/>
      <c r="AG225" s="2075"/>
      <c r="AH225" s="2075"/>
      <c r="AI225" s="2075"/>
      <c r="AJ225" s="2075"/>
      <c r="AK225" s="2075"/>
      <c r="AL225" s="2075"/>
      <c r="AM225" s="2075"/>
      <c r="AN225" s="2075"/>
      <c r="AO225" s="2075"/>
      <c r="AP225" s="2075"/>
      <c r="AQ225" s="2075"/>
      <c r="AR225" s="2075"/>
      <c r="AS225" s="2075"/>
      <c r="AT225" s="2075"/>
      <c r="AU225" s="2075"/>
      <c r="AV225" s="2076"/>
      <c r="AW225" s="2076"/>
      <c r="AX225" s="2076"/>
      <c r="AY225" s="2076"/>
      <c r="AZ225" s="2076"/>
      <c r="BA225" s="2076"/>
      <c r="BB225" s="2076"/>
      <c r="BC225" s="2076"/>
      <c r="BD225" s="2076"/>
      <c r="BE225" s="2076"/>
      <c r="BF225" s="2076"/>
      <c r="BG225" s="2076"/>
      <c r="BH225" s="2076"/>
      <c r="BI225" s="2076"/>
      <c r="BJ225" s="2076"/>
      <c r="BK225" s="2076"/>
      <c r="BL225" s="2076"/>
      <c r="BM225" s="2076"/>
      <c r="BN225" s="2076"/>
      <c r="BO225" s="2076"/>
      <c r="BP225" s="2076"/>
      <c r="BQ225" s="2076"/>
      <c r="BR225" s="2076"/>
      <c r="BS225" s="2076"/>
      <c r="BT225" s="2076"/>
      <c r="BU225" s="2076"/>
      <c r="BV225" s="2076"/>
      <c r="BW225" s="2076"/>
      <c r="BX225" s="2076"/>
      <c r="BY225" s="2076"/>
      <c r="BZ225" s="2076"/>
      <c r="CA225" s="2076"/>
      <c r="CB225" s="2076"/>
      <c r="CC225" s="2076"/>
      <c r="CD225" s="2076"/>
      <c r="CE225" s="2076"/>
      <c r="CF225" s="2076"/>
      <c r="CG225" s="2076"/>
      <c r="CH225" s="2076"/>
      <c r="CI225" s="2076"/>
      <c r="CJ225" s="2076"/>
      <c r="CK225" s="2076"/>
      <c r="CL225" s="2076"/>
      <c r="CM225" s="2076"/>
      <c r="CN225" s="2076"/>
      <c r="CO225" s="2076"/>
      <c r="CP225" s="2076"/>
      <c r="CQ225" s="2076"/>
      <c r="CR225" s="2076"/>
      <c r="CS225" s="2076"/>
      <c r="CT225" s="2076"/>
      <c r="CU225" s="2076"/>
      <c r="CV225" s="2076"/>
      <c r="CW225" s="2076"/>
      <c r="CX225" s="2076"/>
      <c r="CY225" s="2076"/>
      <c r="CZ225" s="2076"/>
      <c r="DA225" s="2076"/>
      <c r="DB225" s="2076"/>
      <c r="DC225" s="2076"/>
      <c r="DD225" s="2076"/>
      <c r="DE225" s="2076"/>
      <c r="DF225" s="2076"/>
      <c r="DG225" s="2076"/>
      <c r="DH225" s="2076"/>
      <c r="DI225" s="2076"/>
      <c r="DJ225" s="2076"/>
      <c r="DK225" s="2076"/>
      <c r="DL225" s="2076"/>
      <c r="DM225" s="2076"/>
      <c r="DN225" s="2076"/>
      <c r="DO225" s="2076"/>
      <c r="DP225" s="2076"/>
      <c r="DQ225" s="2076"/>
      <c r="DR225" s="2076"/>
      <c r="DS225" s="2076"/>
      <c r="DT225" s="2076"/>
      <c r="DU225" s="2076"/>
      <c r="DV225" s="2076"/>
      <c r="DW225" s="2076"/>
      <c r="DX225" s="2076"/>
      <c r="DY225" s="2076"/>
      <c r="DZ225" s="2076"/>
      <c r="EA225" s="2076"/>
      <c r="EB225" s="2076"/>
      <c r="EC225" s="2076"/>
      <c r="ED225" s="2076"/>
      <c r="EE225" s="2076"/>
      <c r="EF225" s="2076"/>
      <c r="EG225" s="2076"/>
      <c r="EH225" s="2076"/>
      <c r="EI225" s="2076"/>
      <c r="EJ225" s="2076"/>
      <c r="EK225" s="2076"/>
      <c r="EL225" s="2076"/>
      <c r="EM225" s="2076"/>
      <c r="EN225" s="2076"/>
      <c r="EO225" s="2076"/>
      <c r="EP225" s="2076"/>
      <c r="EQ225" s="2076"/>
      <c r="ER225" s="2076"/>
      <c r="ES225" s="2076"/>
      <c r="ET225" s="2076"/>
      <c r="EU225" s="2076"/>
      <c r="EV225" s="2076"/>
      <c r="EW225" s="2076"/>
      <c r="EX225" s="2076"/>
      <c r="EY225" s="2076"/>
      <c r="EZ225" s="2076"/>
      <c r="FA225" s="2076"/>
      <c r="FB225" s="2076"/>
      <c r="FC225" s="2076"/>
      <c r="FD225" s="2076"/>
      <c r="FE225" s="2076"/>
      <c r="FF225" s="2076"/>
      <c r="FG225" s="2076"/>
      <c r="FH225" s="2076"/>
      <c r="FI225" s="2076"/>
      <c r="FJ225" s="2076"/>
      <c r="FK225" s="2076"/>
      <c r="FL225" s="2076"/>
      <c r="FM225" s="2076"/>
      <c r="FN225" s="2076"/>
      <c r="FO225" s="2076"/>
      <c r="FP225" s="2076"/>
      <c r="FQ225" s="2076"/>
      <c r="FR225" s="2076"/>
      <c r="FS225" s="2076"/>
      <c r="FT225" s="2076"/>
      <c r="FU225" s="2076"/>
      <c r="FV225" s="2076"/>
      <c r="FW225" s="2076"/>
      <c r="FX225" s="2076"/>
      <c r="FY225" s="2076"/>
      <c r="FZ225" s="2076"/>
      <c r="GA225" s="2076"/>
      <c r="GB225" s="2076"/>
      <c r="GC225" s="2076"/>
      <c r="GD225" s="2076"/>
      <c r="GE225" s="2076"/>
      <c r="GF225" s="2076"/>
      <c r="GG225" s="2076"/>
      <c r="GH225" s="2076"/>
      <c r="GI225" s="2076"/>
      <c r="GJ225" s="2076"/>
      <c r="GK225" s="2076"/>
      <c r="GL225" s="2076"/>
      <c r="GM225" s="2076"/>
      <c r="GN225" s="2076"/>
      <c r="GO225" s="2076"/>
      <c r="GP225" s="2076"/>
      <c r="GQ225" s="2076"/>
      <c r="GR225" s="2076"/>
      <c r="GS225" s="2076"/>
      <c r="GT225" s="2076"/>
      <c r="GU225" s="2076"/>
      <c r="GV225" s="2076"/>
      <c r="GW225" s="2076"/>
      <c r="GX225" s="2076"/>
      <c r="GY225" s="2076"/>
      <c r="GZ225" s="2076"/>
      <c r="HA225" s="2076"/>
      <c r="HB225" s="2076"/>
      <c r="HC225" s="2076"/>
      <c r="HD225" s="2076"/>
      <c r="HE225" s="2076"/>
      <c r="HF225" s="2076"/>
      <c r="HG225" s="2076"/>
      <c r="HH225" s="2076"/>
      <c r="HI225" s="2076"/>
      <c r="HJ225" s="2076"/>
      <c r="HK225" s="2076"/>
      <c r="HL225" s="2076"/>
      <c r="HM225" s="2076"/>
      <c r="HN225" s="2076"/>
      <c r="HO225" s="2076"/>
      <c r="HP225" s="2076"/>
      <c r="HQ225" s="2076"/>
      <c r="HR225" s="2076"/>
      <c r="HS225" s="2076"/>
      <c r="HT225" s="2076"/>
      <c r="HU225" s="2076"/>
      <c r="HV225" s="2076"/>
      <c r="HW225" s="2076"/>
      <c r="HX225" s="2076"/>
      <c r="HY225" s="2076"/>
      <c r="HZ225" s="2076"/>
      <c r="IA225" s="2076"/>
      <c r="IB225" s="2076"/>
      <c r="IC225" s="2076"/>
      <c r="ID225" s="2076"/>
      <c r="IE225" s="2076"/>
      <c r="IF225" s="2076"/>
      <c r="IG225" s="2076"/>
      <c r="IH225" s="2076"/>
      <c r="II225" s="2076"/>
      <c r="IJ225" s="2076"/>
      <c r="IK225" s="2076"/>
      <c r="IL225" s="2076"/>
      <c r="IM225" s="2076"/>
      <c r="IN225" s="2076"/>
      <c r="IO225" s="2076"/>
      <c r="IP225" s="2076"/>
      <c r="IQ225" s="2076"/>
      <c r="IR225" s="2076"/>
      <c r="IS225" s="2076"/>
      <c r="IT225" s="2076"/>
      <c r="IU225" s="2076"/>
      <c r="IV225" s="2076"/>
      <c r="IW225" s="2076"/>
      <c r="IX225" s="2076"/>
      <c r="IY225" s="2076"/>
      <c r="IZ225" s="2076"/>
      <c r="JA225" s="2076"/>
      <c r="JB225" s="2076"/>
      <c r="JC225" s="2076"/>
      <c r="JD225" s="2076"/>
      <c r="JE225" s="2076"/>
      <c r="JF225" s="2076"/>
      <c r="JG225" s="2076"/>
      <c r="JH225" s="2076"/>
      <c r="JI225" s="2076"/>
      <c r="JJ225" s="2076"/>
      <c r="JK225" s="2076"/>
      <c r="JL225" s="2076"/>
      <c r="JM225" s="2076"/>
      <c r="JN225" s="2076"/>
      <c r="JO225" s="2076"/>
      <c r="JP225" s="2076"/>
      <c r="JQ225" s="2076"/>
      <c r="JR225" s="2076"/>
      <c r="JS225" s="2076"/>
      <c r="JT225" s="2076"/>
      <c r="JU225" s="2076"/>
      <c r="JV225" s="2076"/>
      <c r="JW225" s="2076"/>
      <c r="JX225" s="2076"/>
      <c r="JY225" s="2076"/>
      <c r="JZ225" s="2076"/>
      <c r="KA225" s="2076"/>
      <c r="KB225" s="2076"/>
      <c r="KC225" s="2076"/>
      <c r="KD225" s="2076"/>
      <c r="KE225" s="2076"/>
      <c r="KF225" s="2076"/>
      <c r="KG225" s="2076"/>
      <c r="KH225" s="2076"/>
      <c r="KI225" s="2076"/>
      <c r="KJ225" s="2076"/>
      <c r="KK225" s="2076"/>
      <c r="KL225" s="2076"/>
      <c r="KM225" s="2076"/>
      <c r="KN225" s="2076"/>
      <c r="KO225" s="2076"/>
      <c r="KP225" s="2076"/>
      <c r="KQ225" s="2076"/>
      <c r="KR225" s="2076"/>
      <c r="KS225" s="2076"/>
      <c r="KT225" s="2076"/>
      <c r="KU225" s="2076"/>
      <c r="KV225" s="2076"/>
      <c r="KW225" s="2076"/>
      <c r="KX225" s="2076"/>
      <c r="KY225" s="2076"/>
      <c r="KZ225" s="2076"/>
      <c r="LA225" s="2076"/>
      <c r="LB225" s="2076"/>
      <c r="LC225" s="2076"/>
      <c r="LD225" s="2076"/>
      <c r="LE225" s="2076"/>
      <c r="LF225" s="2076"/>
      <c r="LG225" s="2076"/>
      <c r="LH225" s="2076"/>
      <c r="LI225" s="2076"/>
      <c r="LJ225" s="2076"/>
      <c r="LK225" s="2076"/>
      <c r="LL225" s="2076"/>
      <c r="LM225" s="2076"/>
      <c r="LN225" s="2076"/>
      <c r="LO225" s="2076"/>
      <c r="LP225" s="2076"/>
      <c r="LQ225" s="2076"/>
      <c r="LR225" s="2076"/>
      <c r="LS225" s="2076"/>
      <c r="LT225" s="2076"/>
      <c r="LU225" s="2076"/>
      <c r="LV225" s="2076"/>
      <c r="LW225" s="2076"/>
      <c r="LX225" s="2076"/>
      <c r="LY225" s="2076"/>
      <c r="LZ225" s="2076"/>
      <c r="MA225" s="2076"/>
      <c r="MB225" s="2076"/>
      <c r="MC225" s="2076"/>
      <c r="MD225" s="2076"/>
      <c r="ME225" s="2076"/>
      <c r="MF225" s="2076"/>
      <c r="MG225" s="2076"/>
      <c r="MH225" s="2076"/>
      <c r="MI225" s="2076"/>
      <c r="MJ225" s="2076"/>
      <c r="MK225" s="2076"/>
      <c r="ML225" s="2076"/>
      <c r="MM225" s="2076"/>
      <c r="MN225" s="2076"/>
      <c r="MO225" s="2076"/>
      <c r="MP225" s="2076"/>
      <c r="MQ225" s="2076"/>
      <c r="MR225" s="2076"/>
      <c r="MS225" s="2076"/>
      <c r="MT225" s="2076"/>
      <c r="MU225" s="2076"/>
      <c r="MV225" s="2076"/>
      <c r="MW225" s="2076"/>
      <c r="MX225" s="2076"/>
      <c r="MY225" s="2076"/>
      <c r="MZ225" s="2076"/>
      <c r="NA225" s="2076"/>
      <c r="NB225" s="2076"/>
      <c r="NC225" s="2076"/>
      <c r="ND225" s="2076"/>
      <c r="NE225" s="2076"/>
      <c r="NF225" s="2076"/>
      <c r="NG225" s="2076"/>
      <c r="NH225" s="2076"/>
      <c r="NI225" s="2076"/>
      <c r="NJ225" s="2076"/>
      <c r="NK225" s="2076"/>
      <c r="NL225" s="2076"/>
      <c r="NM225" s="2076"/>
      <c r="NN225" s="2076"/>
      <c r="NO225" s="2076"/>
      <c r="NP225" s="2076"/>
      <c r="NQ225" s="2076"/>
      <c r="NR225" s="2076"/>
      <c r="NS225" s="2076"/>
      <c r="NT225" s="2076"/>
      <c r="NU225" s="2076"/>
      <c r="NV225" s="2076"/>
      <c r="NW225" s="2076"/>
      <c r="NX225" s="2076"/>
      <c r="NY225" s="2076"/>
      <c r="NZ225" s="2076"/>
      <c r="OA225" s="2076"/>
      <c r="OB225" s="2076"/>
      <c r="OC225" s="2076"/>
      <c r="OD225" s="2076"/>
      <c r="OE225" s="2076"/>
      <c r="OF225" s="2076"/>
      <c r="OG225" s="2076"/>
      <c r="OH225" s="2076"/>
      <c r="OI225" s="2076"/>
      <c r="OJ225" s="2076"/>
      <c r="OK225" s="2076"/>
      <c r="OL225" s="2076"/>
      <c r="OM225" s="2076"/>
      <c r="ON225" s="2076"/>
      <c r="OO225" s="2076"/>
      <c r="OP225" s="2076"/>
      <c r="OQ225" s="2076"/>
      <c r="OR225" s="2076"/>
      <c r="OS225" s="2076"/>
      <c r="OT225" s="2076"/>
      <c r="OU225" s="2076"/>
      <c r="OV225" s="2076"/>
      <c r="OW225" s="2076"/>
      <c r="OX225" s="2076"/>
      <c r="OY225" s="2076"/>
      <c r="OZ225" s="2076"/>
      <c r="PA225" s="2076"/>
      <c r="PB225" s="2076"/>
      <c r="PC225" s="2076"/>
      <c r="PD225" s="2076"/>
      <c r="PE225" s="2076"/>
      <c r="PF225" s="2076"/>
      <c r="PG225" s="2076"/>
      <c r="PH225" s="2076"/>
      <c r="PI225" s="2076"/>
      <c r="PJ225" s="2076"/>
      <c r="PK225" s="2076"/>
      <c r="PL225" s="2076"/>
      <c r="PM225" s="2076"/>
      <c r="PN225" s="2076"/>
      <c r="PO225" s="2076"/>
      <c r="PP225" s="2076"/>
      <c r="PQ225" s="2076"/>
      <c r="PR225" s="2076"/>
      <c r="PS225" s="2076"/>
      <c r="PT225" s="2076"/>
      <c r="PU225" s="2076"/>
      <c r="PV225" s="2076"/>
      <c r="PW225" s="2076"/>
      <c r="PX225" s="2076"/>
      <c r="PY225" s="2076"/>
      <c r="PZ225" s="2076"/>
      <c r="QA225" s="2076"/>
      <c r="QB225" s="2076"/>
      <c r="QC225" s="2076"/>
      <c r="QD225" s="2076"/>
      <c r="QE225" s="2076"/>
      <c r="QF225" s="2076"/>
      <c r="QG225" s="2076"/>
      <c r="QH225" s="2076"/>
      <c r="QI225" s="2076"/>
      <c r="QJ225" s="2076"/>
      <c r="QK225" s="2076"/>
      <c r="QL225" s="2076"/>
      <c r="QM225" s="2076"/>
      <c r="QN225" s="2076"/>
      <c r="QO225" s="2076"/>
      <c r="QP225" s="2076"/>
      <c r="QQ225" s="2076"/>
      <c r="QR225" s="2076"/>
      <c r="QS225" s="2076"/>
      <c r="QT225" s="2076"/>
      <c r="QU225" s="2076"/>
      <c r="QV225" s="2076"/>
      <c r="QW225" s="2076"/>
      <c r="QX225" s="2076"/>
      <c r="QY225" s="2076"/>
      <c r="QZ225" s="2076"/>
      <c r="RA225" s="2076"/>
      <c r="RB225" s="2076"/>
      <c r="RC225" s="2076"/>
      <c r="RD225" s="2076"/>
      <c r="RE225" s="2076"/>
      <c r="RF225" s="2076"/>
      <c r="RG225" s="2076"/>
      <c r="RH225" s="2076"/>
      <c r="RI225" s="2076"/>
      <c r="RJ225" s="2076"/>
      <c r="RK225" s="2076"/>
      <c r="RL225" s="2076"/>
      <c r="RM225" s="2076"/>
      <c r="RN225" s="2076"/>
      <c r="RO225" s="2076"/>
      <c r="RP225" s="2076"/>
      <c r="RQ225" s="2076"/>
      <c r="RR225" s="2076"/>
      <c r="RS225" s="2076"/>
      <c r="RT225" s="2076"/>
      <c r="RU225" s="2076"/>
      <c r="RV225" s="2076"/>
      <c r="RW225" s="2076"/>
      <c r="RX225" s="2076"/>
      <c r="RY225" s="2076"/>
      <c r="RZ225" s="2076"/>
      <c r="SA225" s="2076"/>
      <c r="SB225" s="2076"/>
      <c r="SC225" s="2076"/>
      <c r="SD225" s="2076"/>
      <c r="SE225" s="2076"/>
      <c r="SF225" s="2076"/>
      <c r="SG225" s="2076"/>
      <c r="SH225" s="2076"/>
      <c r="SI225" s="2076"/>
      <c r="SJ225" s="2076"/>
      <c r="SK225" s="2076"/>
      <c r="SL225" s="2076"/>
      <c r="SM225" s="2076"/>
      <c r="SN225" s="2076"/>
      <c r="SO225" s="2076"/>
      <c r="SP225" s="2076"/>
      <c r="SQ225" s="2076"/>
      <c r="SR225" s="2076"/>
      <c r="SS225" s="2076"/>
      <c r="ST225" s="2076"/>
      <c r="SU225" s="2076"/>
      <c r="SV225" s="2076"/>
      <c r="SW225" s="2076"/>
      <c r="SX225" s="2076"/>
      <c r="SY225" s="2076"/>
      <c r="SZ225" s="2076"/>
      <c r="TA225" s="2076"/>
      <c r="TB225" s="2076"/>
      <c r="TC225" s="2076"/>
      <c r="TD225" s="2076"/>
      <c r="TE225" s="2076"/>
      <c r="TF225" s="2076"/>
      <c r="TG225" s="2076"/>
      <c r="TH225" s="2076"/>
      <c r="TI225" s="2076"/>
      <c r="TJ225" s="2076"/>
      <c r="TK225" s="2076"/>
      <c r="TL225" s="2076"/>
      <c r="TM225" s="2076"/>
      <c r="TN225" s="2076"/>
      <c r="TO225" s="2076"/>
      <c r="TP225" s="2076"/>
      <c r="TQ225" s="2076"/>
      <c r="TR225" s="2076"/>
      <c r="TS225" s="2076"/>
      <c r="TT225" s="2076"/>
      <c r="TU225" s="2076"/>
      <c r="TV225" s="2076"/>
      <c r="TW225" s="2076"/>
      <c r="TX225" s="2076"/>
      <c r="TY225" s="2076"/>
      <c r="TZ225" s="2076"/>
      <c r="UA225" s="2076"/>
      <c r="UB225" s="2076"/>
      <c r="UC225" s="2076"/>
      <c r="UD225" s="2076"/>
      <c r="UE225" s="2076"/>
      <c r="UF225" s="2076"/>
      <c r="UG225" s="2076"/>
      <c r="UH225" s="2076"/>
      <c r="UI225" s="2076"/>
      <c r="UJ225" s="2076"/>
      <c r="UK225" s="2076"/>
      <c r="UL225" s="2076"/>
      <c r="UM225" s="2076"/>
      <c r="UN225" s="2076"/>
      <c r="UO225" s="2076"/>
      <c r="UP225" s="2076"/>
      <c r="UQ225" s="2076"/>
      <c r="UR225" s="2076"/>
      <c r="US225" s="2076"/>
      <c r="UT225" s="2076"/>
      <c r="UU225" s="2076"/>
      <c r="UV225" s="2076"/>
      <c r="UW225" s="2076"/>
      <c r="UX225" s="2076"/>
      <c r="UY225" s="2076"/>
      <c r="UZ225" s="2076"/>
      <c r="VA225" s="2076"/>
      <c r="VB225" s="2076"/>
      <c r="VC225" s="2076"/>
      <c r="VD225" s="2076"/>
      <c r="VE225" s="2076"/>
      <c r="VF225" s="2076"/>
      <c r="VG225" s="2076"/>
      <c r="VH225" s="2076"/>
      <c r="VI225" s="2076"/>
      <c r="VJ225" s="2076"/>
      <c r="VK225" s="2076"/>
      <c r="VL225" s="2076"/>
      <c r="VM225" s="2076"/>
      <c r="VN225" s="2076"/>
      <c r="VO225" s="2076"/>
      <c r="VP225" s="2076"/>
      <c r="VQ225" s="2076"/>
      <c r="VR225" s="2076"/>
      <c r="VS225" s="2076"/>
      <c r="VT225" s="2076"/>
      <c r="VU225" s="2076"/>
      <c r="VV225" s="2076"/>
      <c r="VW225" s="2076"/>
      <c r="VX225" s="2076"/>
      <c r="VY225" s="2076"/>
      <c r="VZ225" s="2076"/>
      <c r="WA225" s="2076"/>
      <c r="WB225" s="2076"/>
      <c r="WC225" s="2076"/>
      <c r="WD225" s="2076"/>
      <c r="WE225" s="2076"/>
      <c r="WF225" s="2076"/>
      <c r="WG225" s="2076"/>
      <c r="WH225" s="2076"/>
      <c r="WI225" s="2076"/>
      <c r="WJ225" s="2076"/>
      <c r="WK225" s="2076"/>
      <c r="WL225" s="2076"/>
      <c r="WM225" s="2076"/>
      <c r="WN225" s="2076"/>
      <c r="WO225" s="2076"/>
      <c r="WP225" s="2076"/>
      <c r="WQ225" s="2076"/>
      <c r="WR225" s="2076"/>
      <c r="WS225" s="2076"/>
      <c r="WT225" s="2076"/>
      <c r="WU225" s="2076"/>
      <c r="WV225" s="2076"/>
      <c r="WW225" s="2076"/>
      <c r="WX225" s="2076"/>
      <c r="WY225" s="2076"/>
      <c r="WZ225" s="2076"/>
      <c r="XA225" s="2076"/>
      <c r="XB225" s="2076"/>
      <c r="XC225" s="2076"/>
      <c r="XD225" s="2076"/>
      <c r="XE225" s="2076"/>
      <c r="XF225" s="2076"/>
      <c r="XG225" s="2076"/>
      <c r="XH225" s="2076"/>
      <c r="XI225" s="2076"/>
      <c r="XJ225" s="2076"/>
      <c r="XK225" s="2076"/>
      <c r="XL225" s="2076"/>
      <c r="XM225" s="2076"/>
      <c r="XN225" s="2076"/>
      <c r="XO225" s="2076"/>
      <c r="XP225" s="2076"/>
      <c r="XQ225" s="2076"/>
      <c r="XR225" s="2076"/>
      <c r="XS225" s="2076"/>
      <c r="XT225" s="2076"/>
      <c r="XU225" s="2076"/>
      <c r="XV225" s="2076"/>
      <c r="XW225" s="2076"/>
      <c r="XX225" s="2076"/>
      <c r="XY225" s="2076"/>
      <c r="XZ225" s="2076"/>
      <c r="YA225" s="2076"/>
      <c r="YB225" s="2076"/>
      <c r="YC225" s="2076"/>
      <c r="YD225" s="2076"/>
      <c r="YE225" s="2076"/>
      <c r="YF225" s="2076"/>
      <c r="YG225" s="2076"/>
      <c r="YH225" s="2076"/>
      <c r="YI225" s="2076"/>
      <c r="YJ225" s="2076"/>
      <c r="YK225" s="2076"/>
      <c r="YL225" s="2076"/>
      <c r="YM225" s="2076"/>
      <c r="YN225" s="2076"/>
      <c r="YO225" s="2076"/>
      <c r="YP225" s="2076"/>
      <c r="YQ225" s="2076"/>
      <c r="YR225" s="2076"/>
      <c r="YS225" s="2076"/>
      <c r="YT225" s="2076"/>
      <c r="YU225" s="2076"/>
      <c r="YV225" s="2076"/>
      <c r="YW225" s="2076"/>
      <c r="YX225" s="2076"/>
      <c r="YY225" s="2076"/>
      <c r="YZ225" s="2076"/>
      <c r="ZA225" s="2076"/>
      <c r="ZB225" s="2076"/>
      <c r="ZC225" s="2076"/>
      <c r="ZD225" s="2076"/>
      <c r="ZE225" s="2076"/>
      <c r="ZF225" s="2076"/>
      <c r="ZG225" s="2076"/>
      <c r="ZH225" s="2076"/>
      <c r="ZI225" s="2076"/>
      <c r="ZJ225" s="2076"/>
      <c r="ZK225" s="2076"/>
      <c r="ZL225" s="2076"/>
      <c r="ZM225" s="2076"/>
      <c r="ZN225" s="2076"/>
      <c r="ZO225" s="2076"/>
      <c r="ZP225" s="2076"/>
      <c r="ZQ225" s="2076"/>
      <c r="ZR225" s="2076"/>
      <c r="ZS225" s="2076"/>
      <c r="ZT225" s="2076"/>
      <c r="ZU225" s="2076"/>
      <c r="ZV225" s="2076"/>
      <c r="ZW225" s="2076"/>
      <c r="ZX225" s="2076"/>
      <c r="ZY225" s="2076"/>
      <c r="ZZ225" s="2076"/>
      <c r="AAA225" s="2076"/>
      <c r="AAB225" s="2076"/>
      <c r="AAC225" s="2076"/>
      <c r="AAD225" s="2076"/>
      <c r="AAE225" s="2076"/>
      <c r="AAF225" s="2076"/>
      <c r="AAG225" s="2076"/>
      <c r="AAH225" s="2076"/>
      <c r="AAI225" s="2076"/>
      <c r="AAJ225" s="2076"/>
      <c r="AAK225" s="2076"/>
      <c r="AAL225" s="2076"/>
      <c r="AAM225" s="2076"/>
      <c r="AAN225" s="2076"/>
      <c r="AAO225" s="2076"/>
      <c r="AAP225" s="2076"/>
      <c r="AAQ225" s="2076"/>
      <c r="AAR225" s="2076"/>
      <c r="AAS225" s="2076"/>
      <c r="AAT225" s="2076"/>
      <c r="AAU225" s="2076"/>
      <c r="AAV225" s="2076"/>
      <c r="AAW225" s="2076"/>
      <c r="AAX225" s="2076"/>
      <c r="AAY225" s="2076"/>
      <c r="AAZ225" s="2076"/>
      <c r="ABA225" s="2076"/>
      <c r="ABB225" s="2076"/>
      <c r="ABC225" s="2076"/>
      <c r="ABD225" s="2076"/>
      <c r="ABE225" s="2076"/>
      <c r="ABF225" s="2076"/>
      <c r="ABG225" s="2076"/>
      <c r="ABH225" s="2076"/>
      <c r="ABI225" s="2076"/>
      <c r="ABJ225" s="2076"/>
      <c r="ABK225" s="2076"/>
      <c r="ABL225" s="2076"/>
      <c r="ABM225" s="2076"/>
      <c r="ABN225" s="2076"/>
      <c r="ABO225" s="2076"/>
      <c r="ABP225" s="2076"/>
      <c r="ABQ225" s="2076"/>
      <c r="ABR225" s="2076"/>
      <c r="ABS225" s="2076"/>
      <c r="ABT225" s="2076"/>
      <c r="ABU225" s="2076"/>
      <c r="ABV225" s="2076"/>
      <c r="ABW225" s="2076"/>
      <c r="ABX225" s="2076"/>
      <c r="ABY225" s="2076"/>
      <c r="ABZ225" s="2076"/>
      <c r="ACA225" s="2076"/>
      <c r="ACB225" s="2076"/>
      <c r="ACC225" s="2076"/>
      <c r="ACD225" s="2076"/>
      <c r="ACE225" s="2076"/>
      <c r="ACF225" s="2076"/>
      <c r="ACG225" s="2076"/>
      <c r="ACH225" s="2076"/>
      <c r="ACI225" s="2076"/>
      <c r="ACJ225" s="2076"/>
      <c r="ACK225" s="2076"/>
      <c r="ACL225" s="2076"/>
      <c r="ACM225" s="2076"/>
      <c r="ACN225" s="2076"/>
      <c r="ACO225" s="2076"/>
      <c r="ACP225" s="2076"/>
      <c r="ACQ225" s="2076"/>
      <c r="ACR225" s="2076"/>
      <c r="ACS225" s="2076"/>
      <c r="ACT225" s="2076"/>
      <c r="ACU225" s="2076"/>
      <c r="ACV225" s="2076"/>
      <c r="ACW225" s="2076"/>
      <c r="ACX225" s="2076"/>
      <c r="ACY225" s="2076"/>
      <c r="ACZ225" s="2076"/>
      <c r="ADA225" s="2076"/>
      <c r="ADB225" s="2076"/>
      <c r="ADC225" s="2076"/>
      <c r="ADD225" s="2076"/>
      <c r="ADE225" s="2076"/>
      <c r="ADF225" s="2076"/>
      <c r="ADG225" s="2076"/>
      <c r="ADH225" s="2076"/>
      <c r="ADI225" s="2076"/>
      <c r="ADJ225" s="2076"/>
      <c r="ADK225" s="2076"/>
      <c r="ADL225" s="2076"/>
      <c r="ADM225" s="2076"/>
      <c r="ADN225" s="2076"/>
      <c r="ADO225" s="2076"/>
      <c r="ADP225" s="2076"/>
      <c r="ADQ225" s="2076"/>
      <c r="ADR225" s="2076"/>
      <c r="ADS225" s="2076"/>
      <c r="ADT225" s="2076"/>
      <c r="ADU225" s="2076"/>
      <c r="ADV225" s="2076"/>
      <c r="ADW225" s="2076"/>
      <c r="ADX225" s="2076"/>
      <c r="ADY225" s="2076"/>
      <c r="ADZ225" s="2076"/>
      <c r="AEA225" s="2076"/>
      <c r="AEB225" s="2076"/>
      <c r="AEC225" s="2076"/>
      <c r="AED225" s="2076"/>
      <c r="AEE225" s="2076"/>
      <c r="AEF225" s="2076"/>
      <c r="AEG225" s="2076"/>
      <c r="AEH225" s="2076"/>
      <c r="AEI225" s="2076"/>
      <c r="AEJ225" s="2076"/>
      <c r="AEK225" s="2076"/>
      <c r="AEL225" s="2076"/>
      <c r="AEM225" s="2076"/>
      <c r="AEN225" s="2076"/>
      <c r="AEO225" s="2076"/>
      <c r="AEP225" s="2076"/>
      <c r="AEQ225" s="2076"/>
      <c r="AER225" s="2076"/>
      <c r="AES225" s="2076"/>
      <c r="AET225" s="2076"/>
      <c r="AEU225" s="2076"/>
      <c r="AEV225" s="2076"/>
      <c r="AEW225" s="2076"/>
      <c r="AEX225" s="2076"/>
      <c r="AEY225" s="2076"/>
      <c r="AEZ225" s="2076"/>
      <c r="AFA225" s="2076"/>
      <c r="AFB225" s="2076"/>
      <c r="AFC225" s="2076"/>
      <c r="AFD225" s="2076"/>
      <c r="AFE225" s="2076"/>
      <c r="AFF225" s="2076"/>
      <c r="AFG225" s="2076"/>
      <c r="AFH225" s="2076"/>
      <c r="AFI225" s="2076"/>
      <c r="AFJ225" s="2076"/>
      <c r="AFK225" s="2076"/>
      <c r="AFL225" s="2076"/>
      <c r="AFM225" s="2076"/>
      <c r="AFN225" s="2076"/>
      <c r="AFO225" s="2076"/>
      <c r="AFP225" s="2076"/>
      <c r="AFQ225" s="2076"/>
      <c r="AFR225" s="2076"/>
      <c r="AFS225" s="2076"/>
      <c r="AFT225" s="2076"/>
      <c r="AFU225" s="2076"/>
      <c r="AFV225" s="2076"/>
      <c r="AFW225" s="2076"/>
      <c r="AFX225" s="2076"/>
      <c r="AFY225" s="2076"/>
      <c r="AFZ225" s="2076"/>
      <c r="AGA225" s="2076"/>
      <c r="AGB225" s="2076"/>
      <c r="AGC225" s="2076"/>
      <c r="AGD225" s="2076"/>
      <c r="AGE225" s="2076"/>
      <c r="AGF225" s="2076"/>
      <c r="AGG225" s="2076"/>
      <c r="AGH225" s="2076"/>
      <c r="AGI225" s="2076"/>
      <c r="AGJ225" s="2076"/>
      <c r="AGK225" s="2076"/>
      <c r="AGL225" s="2076"/>
      <c r="AGM225" s="2076"/>
      <c r="AGN225" s="2076"/>
      <c r="AGO225" s="2076"/>
      <c r="AGP225" s="2076"/>
      <c r="AGQ225" s="2076"/>
      <c r="AGR225" s="2076"/>
      <c r="AGS225" s="2076"/>
      <c r="AGT225" s="2076"/>
      <c r="AGU225" s="2076"/>
      <c r="AGV225" s="2076"/>
      <c r="AGW225" s="2076"/>
      <c r="AGX225" s="2076"/>
      <c r="AGY225" s="2076"/>
      <c r="AGZ225" s="2076"/>
      <c r="AHA225" s="2076"/>
      <c r="AHB225" s="2076"/>
      <c r="AHC225" s="2076"/>
      <c r="AHD225" s="2076"/>
      <c r="AHE225" s="2076"/>
      <c r="AHF225" s="2076"/>
      <c r="AHG225" s="2076"/>
      <c r="AHH225" s="2076"/>
      <c r="AHI225" s="2076"/>
      <c r="AHJ225" s="2076"/>
      <c r="AHK225" s="2076"/>
      <c r="AHL225" s="2076"/>
      <c r="AHM225" s="2076"/>
      <c r="AHN225" s="2076"/>
      <c r="AHO225" s="2076"/>
      <c r="AHP225" s="2076"/>
      <c r="AHQ225" s="2076"/>
      <c r="AHR225" s="2076"/>
      <c r="AHS225" s="2076"/>
      <c r="AHT225" s="2076"/>
      <c r="AHU225" s="2076"/>
      <c r="AHV225" s="2076"/>
      <c r="AHW225" s="2076"/>
      <c r="AHX225" s="2076"/>
      <c r="AHY225" s="2076"/>
      <c r="AHZ225" s="2076"/>
      <c r="AIA225" s="2076"/>
      <c r="AIB225" s="2076"/>
      <c r="AIC225" s="2076"/>
      <c r="AID225" s="2076"/>
      <c r="AIE225" s="2076"/>
      <c r="AIF225" s="2076"/>
      <c r="AIG225" s="2076"/>
      <c r="AIH225" s="2076"/>
      <c r="AII225" s="2076"/>
      <c r="AIJ225" s="2076"/>
      <c r="AIK225" s="2076"/>
      <c r="AIL225" s="2076"/>
      <c r="AIM225" s="2076"/>
      <c r="AIN225" s="2076"/>
      <c r="AIO225" s="2076"/>
      <c r="AIP225" s="2076"/>
      <c r="AIQ225" s="2076"/>
      <c r="AIR225" s="2076"/>
      <c r="AIS225" s="2076"/>
      <c r="AIT225" s="2076"/>
      <c r="AIU225" s="2076"/>
      <c r="AIV225" s="2076"/>
      <c r="AIW225" s="2076"/>
      <c r="AIX225" s="2076"/>
      <c r="AIY225" s="2076"/>
      <c r="AIZ225" s="2076"/>
      <c r="AJA225" s="2076"/>
      <c r="AJB225" s="2076"/>
      <c r="AJC225" s="2076"/>
      <c r="AJD225" s="2076"/>
      <c r="AJE225" s="2076"/>
      <c r="AJF225" s="2076"/>
      <c r="AJG225" s="2076"/>
      <c r="AJH225" s="2076"/>
      <c r="AJI225" s="2076"/>
      <c r="AJJ225" s="2076"/>
      <c r="AJK225" s="2076"/>
      <c r="AJL225" s="2076"/>
      <c r="AJM225" s="2076"/>
      <c r="AJN225" s="2076"/>
      <c r="AJO225" s="2076"/>
      <c r="AJP225" s="2076"/>
      <c r="AJQ225" s="2076"/>
      <c r="AJR225" s="2076"/>
      <c r="AJS225" s="2076"/>
      <c r="AJT225" s="2076"/>
      <c r="AJU225" s="2076"/>
      <c r="AJV225" s="2076"/>
      <c r="AJW225" s="2076"/>
      <c r="AJX225" s="2076"/>
      <c r="AJY225" s="2076"/>
      <c r="AJZ225" s="2076"/>
      <c r="AKA225" s="2076"/>
      <c r="AKB225" s="2076"/>
      <c r="AKC225" s="2076"/>
      <c r="AKD225" s="2076"/>
      <c r="AKE225" s="2076"/>
      <c r="AKF225" s="2076"/>
      <c r="AKG225" s="2076"/>
      <c r="AKH225" s="2076"/>
      <c r="AKI225" s="2076"/>
      <c r="AKJ225" s="2076"/>
      <c r="AKK225" s="2076"/>
      <c r="AKL225" s="2076"/>
      <c r="AKM225" s="2076"/>
      <c r="AKN225" s="2076"/>
      <c r="AKO225" s="2076"/>
      <c r="AKP225" s="2076"/>
      <c r="AKQ225" s="2076"/>
      <c r="AKR225" s="2076"/>
      <c r="AKS225" s="2076"/>
      <c r="AKT225" s="2076"/>
      <c r="AKU225" s="2076"/>
      <c r="AKV225" s="2076"/>
      <c r="AKW225" s="2076"/>
      <c r="AKX225" s="2076"/>
      <c r="AKY225" s="2076"/>
      <c r="AKZ225" s="2076"/>
      <c r="ALA225" s="2076"/>
      <c r="ALB225" s="2076"/>
      <c r="ALC225" s="2076"/>
      <c r="ALD225" s="2076"/>
      <c r="ALE225" s="2076"/>
      <c r="ALF225" s="2076"/>
      <c r="ALG225" s="2076"/>
      <c r="ALH225" s="2076"/>
      <c r="ALI225" s="2076"/>
      <c r="ALJ225" s="2076"/>
      <c r="ALK225" s="2076"/>
      <c r="ALL225" s="2076"/>
      <c r="ALM225" s="2076"/>
      <c r="ALN225" s="2076"/>
      <c r="ALO225" s="2076"/>
      <c r="ALP225" s="2076"/>
      <c r="ALQ225" s="2076"/>
      <c r="ALR225" s="2076"/>
      <c r="ALS225" s="2076"/>
      <c r="ALT225" s="2076"/>
      <c r="ALU225" s="2076"/>
      <c r="ALV225" s="2076"/>
      <c r="ALW225" s="2076"/>
      <c r="ALX225" s="2076"/>
      <c r="ALY225" s="2076"/>
      <c r="ALZ225" s="2076"/>
      <c r="AMA225" s="2076"/>
      <c r="AMB225" s="2076"/>
      <c r="AMC225" s="2076"/>
      <c r="AMD225" s="2076"/>
      <c r="AME225" s="2076"/>
      <c r="AMF225" s="2076"/>
      <c r="AMG225" s="2076"/>
      <c r="AMH225" s="2076"/>
      <c r="AMI225" s="2076"/>
      <c r="AMJ225" s="2076"/>
      <c r="AMK225" s="2076"/>
      <c r="AML225" s="2076"/>
      <c r="AMM225" s="2076"/>
      <c r="AMN225" s="2076"/>
      <c r="AMO225" s="2076"/>
      <c r="AMP225" s="2076"/>
      <c r="AMQ225" s="2076"/>
      <c r="AMR225" s="2076"/>
      <c r="AMS225" s="2076"/>
      <c r="AMT225" s="2076"/>
      <c r="AMU225" s="2076"/>
      <c r="AMV225" s="2076"/>
      <c r="AMW225" s="2076"/>
      <c r="AMX225" s="2076"/>
      <c r="AMY225" s="2076"/>
      <c r="AMZ225" s="2076"/>
      <c r="ANA225" s="2076"/>
      <c r="ANB225" s="2076"/>
      <c r="ANC225" s="2076"/>
      <c r="AND225" s="2076"/>
      <c r="ANE225" s="2076"/>
      <c r="ANF225" s="2076"/>
      <c r="ANG225" s="2076"/>
      <c r="ANH225" s="2076"/>
      <c r="ANI225" s="2076"/>
      <c r="ANJ225" s="2076"/>
      <c r="ANK225" s="2076"/>
      <c r="ANL225" s="2076"/>
      <c r="ANM225" s="2076"/>
      <c r="ANN225" s="2076"/>
      <c r="ANO225" s="2076"/>
      <c r="ANP225" s="2076"/>
      <c r="ANQ225" s="2076"/>
      <c r="ANR225" s="2076"/>
      <c r="ANS225" s="2076"/>
      <c r="ANT225" s="2076"/>
      <c r="ANU225" s="2076"/>
      <c r="ANV225" s="2076"/>
      <c r="ANW225" s="2076"/>
      <c r="ANX225" s="2076"/>
      <c r="ANY225" s="2076"/>
      <c r="ANZ225" s="2076"/>
      <c r="AOA225" s="2076"/>
      <c r="AOB225" s="2076"/>
      <c r="AOC225" s="2076"/>
      <c r="AOD225" s="2076"/>
      <c r="AOE225" s="2076"/>
      <c r="AOF225" s="2076"/>
      <c r="AOG225" s="2076"/>
      <c r="AOH225" s="2076"/>
      <c r="AOI225" s="2076"/>
      <c r="AOJ225" s="2076"/>
      <c r="AOK225" s="2076"/>
      <c r="AOL225" s="2076"/>
      <c r="AOM225" s="2076"/>
      <c r="AON225" s="2076"/>
      <c r="AOO225" s="2076"/>
      <c r="AOP225" s="2076"/>
      <c r="AOQ225" s="2076"/>
      <c r="AOR225" s="2076"/>
      <c r="AOS225" s="2076"/>
      <c r="AOT225" s="2076"/>
      <c r="AOU225" s="2076"/>
      <c r="AOV225" s="2076"/>
      <c r="AOW225" s="2076"/>
      <c r="AOX225" s="2076"/>
      <c r="AOY225" s="2076"/>
      <c r="AOZ225" s="2076"/>
      <c r="APA225" s="2076"/>
      <c r="APB225" s="2076"/>
      <c r="APC225" s="2076"/>
      <c r="APD225" s="2076"/>
      <c r="APE225" s="2076"/>
      <c r="APF225" s="2076"/>
      <c r="APG225" s="2076"/>
      <c r="APH225" s="2076"/>
      <c r="API225" s="2076"/>
      <c r="APJ225" s="2076"/>
      <c r="APK225" s="2076"/>
      <c r="APL225" s="2076"/>
      <c r="APM225" s="2076"/>
      <c r="APN225" s="2076"/>
      <c r="APO225" s="2076"/>
      <c r="APP225" s="2076"/>
      <c r="APQ225" s="2076"/>
      <c r="APR225" s="2076"/>
      <c r="APS225" s="2076"/>
      <c r="APT225" s="2076"/>
      <c r="APU225" s="2076"/>
      <c r="APV225" s="2076"/>
      <c r="APW225" s="2076"/>
      <c r="APX225" s="2076"/>
      <c r="APY225" s="2076"/>
      <c r="APZ225" s="2076"/>
      <c r="AQA225" s="2076"/>
      <c r="AQB225" s="2076"/>
      <c r="AQC225" s="2076"/>
      <c r="AQD225" s="2076"/>
      <c r="AQE225" s="2076"/>
      <c r="AQF225" s="2076"/>
      <c r="AQG225" s="2076"/>
      <c r="AQH225" s="2076"/>
      <c r="AQI225" s="2076"/>
      <c r="AQJ225" s="2076"/>
      <c r="AQK225" s="2076"/>
      <c r="AQL225" s="2076"/>
      <c r="AQM225" s="2076"/>
      <c r="AQN225" s="2076"/>
      <c r="AQO225" s="2076"/>
      <c r="AQP225" s="2076"/>
      <c r="AQQ225" s="2076"/>
      <c r="AQR225" s="2076"/>
      <c r="AQS225" s="2076"/>
      <c r="AQT225" s="2076"/>
      <c r="AQU225" s="2076"/>
      <c r="AQV225" s="2076"/>
      <c r="AQW225" s="2076"/>
      <c r="AQX225" s="2076"/>
      <c r="AQY225" s="2076"/>
      <c r="AQZ225" s="2076"/>
      <c r="ARA225" s="2076"/>
      <c r="ARB225" s="2076"/>
      <c r="ARC225" s="2076"/>
      <c r="ARD225" s="2076"/>
      <c r="ARE225" s="2076"/>
      <c r="ARF225" s="2076"/>
      <c r="ARG225" s="2076"/>
      <c r="ARH225" s="2076"/>
      <c r="ARI225" s="2076"/>
      <c r="ARJ225" s="2076"/>
      <c r="ARK225" s="2076"/>
      <c r="ARL225" s="2076"/>
      <c r="ARM225" s="2076"/>
      <c r="ARN225" s="2076"/>
      <c r="ARO225" s="2076"/>
      <c r="ARP225" s="2076"/>
      <c r="ARQ225" s="2076"/>
      <c r="ARR225" s="2076"/>
      <c r="ARS225" s="2076"/>
      <c r="ART225" s="2076"/>
      <c r="ARU225" s="2076"/>
      <c r="ARV225" s="2076"/>
      <c r="ARW225" s="2076"/>
      <c r="ARX225" s="2076"/>
      <c r="ARY225" s="2076"/>
      <c r="ARZ225" s="2076"/>
      <c r="ASA225" s="2076"/>
      <c r="ASB225" s="2076"/>
      <c r="ASC225" s="2076"/>
      <c r="ASD225" s="2076"/>
      <c r="ASE225" s="2076"/>
      <c r="ASF225" s="2076"/>
      <c r="ASG225" s="2076"/>
      <c r="ASH225" s="2076"/>
      <c r="ASI225" s="2076"/>
      <c r="ASJ225" s="2076"/>
      <c r="ASK225" s="2076"/>
      <c r="ASL225" s="2076"/>
      <c r="ASM225" s="2076"/>
      <c r="ASN225" s="2076"/>
      <c r="ASO225" s="2076"/>
      <c r="ASP225" s="2076"/>
      <c r="ASQ225" s="2076"/>
      <c r="ASR225" s="2076"/>
      <c r="ASS225" s="2076"/>
      <c r="AST225" s="2076"/>
      <c r="ASU225" s="2076"/>
      <c r="ASV225" s="2076"/>
      <c r="ASW225" s="2076"/>
      <c r="ASX225" s="2076"/>
      <c r="ASY225" s="2076"/>
      <c r="ASZ225" s="2076"/>
      <c r="ATA225" s="2076"/>
      <c r="ATB225" s="2076"/>
      <c r="ATC225" s="2076"/>
      <c r="ATD225" s="2076"/>
      <c r="ATE225" s="2076"/>
      <c r="ATF225" s="2076"/>
      <c r="ATG225" s="2076"/>
      <c r="ATH225" s="2076"/>
      <c r="ATI225" s="2076"/>
      <c r="ATJ225" s="2076"/>
      <c r="ATK225" s="2076"/>
      <c r="ATL225" s="2076"/>
      <c r="ATM225" s="2076"/>
      <c r="ATN225" s="2076"/>
      <c r="ATO225" s="2076"/>
      <c r="ATP225" s="2076"/>
      <c r="ATQ225" s="2076"/>
      <c r="ATR225" s="2076"/>
      <c r="ATS225" s="2076"/>
      <c r="ATT225" s="2076"/>
      <c r="ATU225" s="2076"/>
      <c r="ATV225" s="2076"/>
      <c r="ATW225" s="2076"/>
      <c r="ATX225" s="2076"/>
      <c r="ATY225" s="2076"/>
      <c r="ATZ225" s="2076"/>
      <c r="AUA225" s="2076"/>
      <c r="AUB225" s="2076"/>
      <c r="AUC225" s="2076"/>
      <c r="AUD225" s="2076"/>
      <c r="AUE225" s="2076"/>
      <c r="AUF225" s="2076"/>
      <c r="AUG225" s="2076"/>
      <c r="AUH225" s="2076"/>
      <c r="AUI225" s="2076"/>
      <c r="AUJ225" s="2076"/>
      <c r="AUK225" s="2076"/>
      <c r="AUL225" s="2076"/>
      <c r="AUM225" s="2076"/>
      <c r="AUN225" s="2076"/>
      <c r="AUO225" s="2076"/>
      <c r="AUP225" s="2076"/>
      <c r="AUQ225" s="2076"/>
      <c r="AUR225" s="2076"/>
      <c r="AUS225" s="2076"/>
      <c r="AUT225" s="2076"/>
      <c r="AUU225" s="2076"/>
      <c r="AUV225" s="2076"/>
      <c r="AUW225" s="2076"/>
      <c r="AUX225" s="2076"/>
      <c r="AUY225" s="2076"/>
      <c r="AUZ225" s="2076"/>
      <c r="AVA225" s="2076"/>
      <c r="AVB225" s="2076"/>
      <c r="AVC225" s="2076"/>
      <c r="AVD225" s="2076"/>
      <c r="AVE225" s="2076"/>
      <c r="AVF225" s="2076"/>
      <c r="AVG225" s="2076"/>
      <c r="AVH225" s="2076"/>
      <c r="AVI225" s="2076"/>
      <c r="AVJ225" s="2076"/>
      <c r="AVK225" s="2076"/>
      <c r="AVL225" s="2076"/>
      <c r="AVM225" s="2076"/>
      <c r="AVN225" s="2076"/>
      <c r="AVO225" s="2076"/>
      <c r="AVP225" s="2076"/>
      <c r="AVQ225" s="2076"/>
      <c r="AVR225" s="2076"/>
      <c r="AVS225" s="2076"/>
      <c r="AVT225" s="2076"/>
      <c r="AVU225" s="2076"/>
      <c r="AVV225" s="2076"/>
      <c r="AVW225" s="2076"/>
      <c r="AVX225" s="2076"/>
      <c r="AVY225" s="2076"/>
      <c r="AVZ225" s="2076"/>
      <c r="AWA225" s="2076"/>
      <c r="AWB225" s="2076"/>
      <c r="AWC225" s="2076"/>
      <c r="AWD225" s="2076"/>
      <c r="AWE225" s="2076"/>
      <c r="AWF225" s="2076"/>
      <c r="AWG225" s="2076"/>
      <c r="AWH225" s="2076"/>
      <c r="AWI225" s="2076"/>
      <c r="AWJ225" s="2076"/>
      <c r="AWK225" s="2076"/>
      <c r="AWL225" s="2076"/>
      <c r="AWM225" s="2076"/>
      <c r="AWN225" s="2076"/>
      <c r="AWO225" s="2076"/>
      <c r="AWP225" s="2076"/>
      <c r="AWQ225" s="2076"/>
      <c r="AWR225" s="2076"/>
      <c r="AWS225" s="2076"/>
      <c r="AWT225" s="2076"/>
      <c r="AWU225" s="2076"/>
      <c r="AWV225" s="2076"/>
      <c r="AWW225" s="2076"/>
      <c r="AWX225" s="2076"/>
      <c r="AWY225" s="2076"/>
      <c r="AWZ225" s="2076"/>
      <c r="AXA225" s="2076"/>
      <c r="AXB225" s="2076"/>
      <c r="AXC225" s="2076"/>
      <c r="AXD225" s="2076"/>
      <c r="AXE225" s="2076"/>
      <c r="AXF225" s="2076"/>
      <c r="AXG225" s="2076"/>
      <c r="AXH225" s="2076"/>
      <c r="AXI225" s="2076"/>
      <c r="AXJ225" s="2076"/>
    </row>
    <row r="226" spans="1:1310" s="2077" customFormat="1" ht="23.25" customHeight="1">
      <c r="A226" s="2092"/>
      <c r="B226" s="3238" t="s">
        <v>2361</v>
      </c>
      <c r="C226" s="3238"/>
      <c r="D226" s="3238"/>
      <c r="E226" s="3238"/>
      <c r="F226" s="2086"/>
      <c r="G226" s="3238" t="s">
        <v>2362</v>
      </c>
      <c r="H226" s="3238"/>
      <c r="I226" s="3238"/>
      <c r="J226" s="2086"/>
      <c r="K226" s="3238" t="s">
        <v>2363</v>
      </c>
      <c r="L226" s="3238"/>
      <c r="M226" s="3238"/>
      <c r="N226" s="2086"/>
      <c r="O226" s="3238" t="s">
        <v>2364</v>
      </c>
      <c r="P226" s="3238"/>
      <c r="Q226" s="2086"/>
      <c r="R226" s="755"/>
      <c r="S226" s="755"/>
      <c r="T226" s="755"/>
      <c r="U226" s="755"/>
      <c r="V226" s="755"/>
      <c r="W226" s="755"/>
      <c r="X226" s="755"/>
      <c r="Y226" s="755"/>
      <c r="Z226" s="755"/>
      <c r="AA226" s="755"/>
      <c r="AB226" s="755"/>
      <c r="AC226" s="755"/>
      <c r="AD226" s="2075"/>
      <c r="AE226" s="2075"/>
      <c r="AF226" s="2075"/>
      <c r="AG226" s="2075"/>
      <c r="AH226" s="2075"/>
      <c r="AI226" s="2075"/>
      <c r="AJ226" s="2075"/>
      <c r="AK226" s="2075"/>
      <c r="AL226" s="2075"/>
      <c r="AM226" s="2075"/>
      <c r="AN226" s="2075"/>
      <c r="AO226" s="2075"/>
      <c r="AP226" s="2075"/>
      <c r="AQ226" s="2075"/>
      <c r="AR226" s="2075"/>
      <c r="AS226" s="2075"/>
      <c r="AT226" s="2075"/>
      <c r="AU226" s="2075"/>
      <c r="AV226" s="2076"/>
      <c r="AW226" s="2076"/>
      <c r="AX226" s="2076"/>
      <c r="AY226" s="2076"/>
      <c r="AZ226" s="2076"/>
      <c r="BA226" s="2076"/>
      <c r="BB226" s="2076"/>
      <c r="BC226" s="2076"/>
      <c r="BD226" s="2076"/>
      <c r="BE226" s="2076"/>
      <c r="BF226" s="2076"/>
      <c r="BG226" s="2076"/>
      <c r="BH226" s="2076"/>
      <c r="BI226" s="2076"/>
      <c r="BJ226" s="2076"/>
      <c r="BK226" s="2076"/>
      <c r="BL226" s="2076"/>
      <c r="BM226" s="2076"/>
      <c r="BN226" s="2076"/>
      <c r="BO226" s="2076"/>
      <c r="BP226" s="2076"/>
      <c r="BQ226" s="2076"/>
      <c r="BR226" s="2076"/>
      <c r="BS226" s="2076"/>
      <c r="BT226" s="2076"/>
      <c r="BU226" s="2076"/>
      <c r="BV226" s="2076"/>
      <c r="BW226" s="2076"/>
      <c r="BX226" s="2076"/>
      <c r="BY226" s="2076"/>
      <c r="BZ226" s="2076"/>
      <c r="CA226" s="2076"/>
      <c r="CB226" s="2076"/>
      <c r="CC226" s="2076"/>
      <c r="CD226" s="2076"/>
      <c r="CE226" s="2076"/>
      <c r="CF226" s="2076"/>
      <c r="CG226" s="2076"/>
      <c r="CH226" s="2076"/>
      <c r="CI226" s="2076"/>
      <c r="CJ226" s="2076"/>
      <c r="CK226" s="2076"/>
      <c r="CL226" s="2076"/>
      <c r="CM226" s="2076"/>
      <c r="CN226" s="2076"/>
      <c r="CO226" s="2076"/>
      <c r="CP226" s="2076"/>
      <c r="CQ226" s="2076"/>
      <c r="CR226" s="2076"/>
      <c r="CS226" s="2076"/>
      <c r="CT226" s="2076"/>
      <c r="CU226" s="2076"/>
      <c r="CV226" s="2076"/>
      <c r="CW226" s="2076"/>
      <c r="CX226" s="2076"/>
      <c r="CY226" s="2076"/>
      <c r="CZ226" s="2076"/>
      <c r="DA226" s="2076"/>
      <c r="DB226" s="2076"/>
      <c r="DC226" s="2076"/>
      <c r="DD226" s="2076"/>
      <c r="DE226" s="2076"/>
      <c r="DF226" s="2076"/>
      <c r="DG226" s="2076"/>
      <c r="DH226" s="2076"/>
      <c r="DI226" s="2076"/>
      <c r="DJ226" s="2076"/>
      <c r="DK226" s="2076"/>
      <c r="DL226" s="2076"/>
      <c r="DM226" s="2076"/>
      <c r="DN226" s="2076"/>
      <c r="DO226" s="2076"/>
      <c r="DP226" s="2076"/>
      <c r="DQ226" s="2076"/>
      <c r="DR226" s="2076"/>
      <c r="DS226" s="2076"/>
      <c r="DT226" s="2076"/>
      <c r="DU226" s="2076"/>
      <c r="DV226" s="2076"/>
      <c r="DW226" s="2076"/>
      <c r="DX226" s="2076"/>
      <c r="DY226" s="2076"/>
      <c r="DZ226" s="2076"/>
      <c r="EA226" s="2076"/>
      <c r="EB226" s="2076"/>
      <c r="EC226" s="2076"/>
      <c r="ED226" s="2076"/>
      <c r="EE226" s="2076"/>
      <c r="EF226" s="2076"/>
      <c r="EG226" s="2076"/>
      <c r="EH226" s="2076"/>
      <c r="EI226" s="2076"/>
      <c r="EJ226" s="2076"/>
      <c r="EK226" s="2076"/>
      <c r="EL226" s="2076"/>
      <c r="EM226" s="2076"/>
      <c r="EN226" s="2076"/>
      <c r="EO226" s="2076"/>
      <c r="EP226" s="2076"/>
      <c r="EQ226" s="2076"/>
      <c r="ER226" s="2076"/>
      <c r="ES226" s="2076"/>
      <c r="ET226" s="2076"/>
      <c r="EU226" s="2076"/>
      <c r="EV226" s="2076"/>
      <c r="EW226" s="2076"/>
      <c r="EX226" s="2076"/>
      <c r="EY226" s="2076"/>
      <c r="EZ226" s="2076"/>
      <c r="FA226" s="2076"/>
      <c r="FB226" s="2076"/>
      <c r="FC226" s="2076"/>
      <c r="FD226" s="2076"/>
      <c r="FE226" s="2076"/>
      <c r="FF226" s="2076"/>
      <c r="FG226" s="2076"/>
      <c r="FH226" s="2076"/>
      <c r="FI226" s="2076"/>
      <c r="FJ226" s="2076"/>
      <c r="FK226" s="2076"/>
      <c r="FL226" s="2076"/>
      <c r="FM226" s="2076"/>
      <c r="FN226" s="2076"/>
      <c r="FO226" s="2076"/>
      <c r="FP226" s="2076"/>
      <c r="FQ226" s="2076"/>
      <c r="FR226" s="2076"/>
      <c r="FS226" s="2076"/>
      <c r="FT226" s="2076"/>
      <c r="FU226" s="2076"/>
      <c r="FV226" s="2076"/>
      <c r="FW226" s="2076"/>
      <c r="FX226" s="2076"/>
      <c r="FY226" s="2076"/>
      <c r="FZ226" s="2076"/>
      <c r="GA226" s="2076"/>
      <c r="GB226" s="2076"/>
      <c r="GC226" s="2076"/>
      <c r="GD226" s="2076"/>
      <c r="GE226" s="2076"/>
      <c r="GF226" s="2076"/>
      <c r="GG226" s="2076"/>
      <c r="GH226" s="2076"/>
      <c r="GI226" s="2076"/>
      <c r="GJ226" s="2076"/>
      <c r="GK226" s="2076"/>
      <c r="GL226" s="2076"/>
      <c r="GM226" s="2076"/>
      <c r="GN226" s="2076"/>
      <c r="GO226" s="2076"/>
      <c r="GP226" s="2076"/>
      <c r="GQ226" s="2076"/>
      <c r="GR226" s="2076"/>
      <c r="GS226" s="2076"/>
      <c r="GT226" s="2076"/>
      <c r="GU226" s="2076"/>
      <c r="GV226" s="2076"/>
      <c r="GW226" s="2076"/>
      <c r="GX226" s="2076"/>
      <c r="GY226" s="2076"/>
      <c r="GZ226" s="2076"/>
      <c r="HA226" s="2076"/>
      <c r="HB226" s="2076"/>
      <c r="HC226" s="2076"/>
      <c r="HD226" s="2076"/>
      <c r="HE226" s="2076"/>
      <c r="HF226" s="2076"/>
      <c r="HG226" s="2076"/>
      <c r="HH226" s="2076"/>
      <c r="HI226" s="2076"/>
      <c r="HJ226" s="2076"/>
      <c r="HK226" s="2076"/>
      <c r="HL226" s="2076"/>
      <c r="HM226" s="2076"/>
      <c r="HN226" s="2076"/>
      <c r="HO226" s="2076"/>
      <c r="HP226" s="2076"/>
      <c r="HQ226" s="2076"/>
      <c r="HR226" s="2076"/>
      <c r="HS226" s="2076"/>
      <c r="HT226" s="2076"/>
      <c r="HU226" s="2076"/>
      <c r="HV226" s="2076"/>
      <c r="HW226" s="2076"/>
      <c r="HX226" s="2076"/>
      <c r="HY226" s="2076"/>
      <c r="HZ226" s="2076"/>
      <c r="IA226" s="2076"/>
      <c r="IB226" s="2076"/>
      <c r="IC226" s="2076"/>
      <c r="ID226" s="2076"/>
      <c r="IE226" s="2076"/>
      <c r="IF226" s="2076"/>
      <c r="IG226" s="2076"/>
      <c r="IH226" s="2076"/>
      <c r="II226" s="2076"/>
      <c r="IJ226" s="2076"/>
      <c r="IK226" s="2076"/>
      <c r="IL226" s="2076"/>
      <c r="IM226" s="2076"/>
      <c r="IN226" s="2076"/>
      <c r="IO226" s="2076"/>
      <c r="IP226" s="2076"/>
      <c r="IQ226" s="2076"/>
      <c r="IR226" s="2076"/>
      <c r="IS226" s="2076"/>
      <c r="IT226" s="2076"/>
      <c r="IU226" s="2076"/>
      <c r="IV226" s="2076"/>
      <c r="IW226" s="2076"/>
      <c r="IX226" s="2076"/>
      <c r="IY226" s="2076"/>
      <c r="IZ226" s="2076"/>
      <c r="JA226" s="2076"/>
      <c r="JB226" s="2076"/>
      <c r="JC226" s="2076"/>
      <c r="JD226" s="2076"/>
      <c r="JE226" s="2076"/>
      <c r="JF226" s="2076"/>
      <c r="JG226" s="2076"/>
      <c r="JH226" s="2076"/>
      <c r="JI226" s="2076"/>
      <c r="JJ226" s="2076"/>
      <c r="JK226" s="2076"/>
      <c r="JL226" s="2076"/>
      <c r="JM226" s="2076"/>
      <c r="JN226" s="2076"/>
      <c r="JO226" s="2076"/>
      <c r="JP226" s="2076"/>
      <c r="JQ226" s="2076"/>
      <c r="JR226" s="2076"/>
      <c r="JS226" s="2076"/>
      <c r="JT226" s="2076"/>
      <c r="JU226" s="2076"/>
      <c r="JV226" s="2076"/>
      <c r="JW226" s="2076"/>
      <c r="JX226" s="2076"/>
      <c r="JY226" s="2076"/>
      <c r="JZ226" s="2076"/>
      <c r="KA226" s="2076"/>
      <c r="KB226" s="2076"/>
      <c r="KC226" s="2076"/>
      <c r="KD226" s="2076"/>
      <c r="KE226" s="2076"/>
      <c r="KF226" s="2076"/>
      <c r="KG226" s="2076"/>
      <c r="KH226" s="2076"/>
      <c r="KI226" s="2076"/>
      <c r="KJ226" s="2076"/>
      <c r="KK226" s="2076"/>
      <c r="KL226" s="2076"/>
      <c r="KM226" s="2076"/>
      <c r="KN226" s="2076"/>
      <c r="KO226" s="2076"/>
      <c r="KP226" s="2076"/>
      <c r="KQ226" s="2076"/>
      <c r="KR226" s="2076"/>
      <c r="KS226" s="2076"/>
      <c r="KT226" s="2076"/>
      <c r="KU226" s="2076"/>
      <c r="KV226" s="2076"/>
      <c r="KW226" s="2076"/>
      <c r="KX226" s="2076"/>
      <c r="KY226" s="2076"/>
      <c r="KZ226" s="2076"/>
      <c r="LA226" s="2076"/>
      <c r="LB226" s="2076"/>
      <c r="LC226" s="2076"/>
      <c r="LD226" s="2076"/>
      <c r="LE226" s="2076"/>
      <c r="LF226" s="2076"/>
      <c r="LG226" s="2076"/>
      <c r="LH226" s="2076"/>
      <c r="LI226" s="2076"/>
      <c r="LJ226" s="2076"/>
      <c r="LK226" s="2076"/>
      <c r="LL226" s="2076"/>
      <c r="LM226" s="2076"/>
      <c r="LN226" s="2076"/>
      <c r="LO226" s="2076"/>
      <c r="LP226" s="2076"/>
      <c r="LQ226" s="2076"/>
      <c r="LR226" s="2076"/>
      <c r="LS226" s="2076"/>
      <c r="LT226" s="2076"/>
      <c r="LU226" s="2076"/>
      <c r="LV226" s="2076"/>
      <c r="LW226" s="2076"/>
      <c r="LX226" s="2076"/>
      <c r="LY226" s="2076"/>
      <c r="LZ226" s="2076"/>
      <c r="MA226" s="2076"/>
      <c r="MB226" s="2076"/>
      <c r="MC226" s="2076"/>
      <c r="MD226" s="2076"/>
      <c r="ME226" s="2076"/>
      <c r="MF226" s="2076"/>
      <c r="MG226" s="2076"/>
      <c r="MH226" s="2076"/>
      <c r="MI226" s="2076"/>
      <c r="MJ226" s="2076"/>
      <c r="MK226" s="2076"/>
      <c r="ML226" s="2076"/>
      <c r="MM226" s="2076"/>
      <c r="MN226" s="2076"/>
      <c r="MO226" s="2076"/>
      <c r="MP226" s="2076"/>
      <c r="MQ226" s="2076"/>
      <c r="MR226" s="2076"/>
      <c r="MS226" s="2076"/>
      <c r="MT226" s="2076"/>
      <c r="MU226" s="2076"/>
      <c r="MV226" s="2076"/>
      <c r="MW226" s="2076"/>
      <c r="MX226" s="2076"/>
      <c r="MY226" s="2076"/>
      <c r="MZ226" s="2076"/>
      <c r="NA226" s="2076"/>
      <c r="NB226" s="2076"/>
      <c r="NC226" s="2076"/>
      <c r="ND226" s="2076"/>
      <c r="NE226" s="2076"/>
      <c r="NF226" s="2076"/>
      <c r="NG226" s="2076"/>
      <c r="NH226" s="2076"/>
      <c r="NI226" s="2076"/>
      <c r="NJ226" s="2076"/>
      <c r="NK226" s="2076"/>
      <c r="NL226" s="2076"/>
      <c r="NM226" s="2076"/>
      <c r="NN226" s="2076"/>
      <c r="NO226" s="2076"/>
      <c r="NP226" s="2076"/>
      <c r="NQ226" s="2076"/>
      <c r="NR226" s="2076"/>
      <c r="NS226" s="2076"/>
      <c r="NT226" s="2076"/>
      <c r="NU226" s="2076"/>
      <c r="NV226" s="2076"/>
      <c r="NW226" s="2076"/>
      <c r="NX226" s="2076"/>
      <c r="NY226" s="2076"/>
      <c r="NZ226" s="2076"/>
      <c r="OA226" s="2076"/>
      <c r="OB226" s="2076"/>
      <c r="OC226" s="2076"/>
      <c r="OD226" s="2076"/>
      <c r="OE226" s="2076"/>
      <c r="OF226" s="2076"/>
      <c r="OG226" s="2076"/>
      <c r="OH226" s="2076"/>
      <c r="OI226" s="2076"/>
      <c r="OJ226" s="2076"/>
      <c r="OK226" s="2076"/>
      <c r="OL226" s="2076"/>
      <c r="OM226" s="2076"/>
      <c r="ON226" s="2076"/>
      <c r="OO226" s="2076"/>
      <c r="OP226" s="2076"/>
      <c r="OQ226" s="2076"/>
      <c r="OR226" s="2076"/>
      <c r="OS226" s="2076"/>
      <c r="OT226" s="2076"/>
      <c r="OU226" s="2076"/>
      <c r="OV226" s="2076"/>
      <c r="OW226" s="2076"/>
      <c r="OX226" s="2076"/>
      <c r="OY226" s="2076"/>
      <c r="OZ226" s="2076"/>
      <c r="PA226" s="2076"/>
      <c r="PB226" s="2076"/>
      <c r="PC226" s="2076"/>
      <c r="PD226" s="2076"/>
      <c r="PE226" s="2076"/>
      <c r="PF226" s="2076"/>
      <c r="PG226" s="2076"/>
      <c r="PH226" s="2076"/>
      <c r="PI226" s="2076"/>
      <c r="PJ226" s="2076"/>
      <c r="PK226" s="2076"/>
      <c r="PL226" s="2076"/>
      <c r="PM226" s="2076"/>
      <c r="PN226" s="2076"/>
      <c r="PO226" s="2076"/>
      <c r="PP226" s="2076"/>
      <c r="PQ226" s="2076"/>
      <c r="PR226" s="2076"/>
      <c r="PS226" s="2076"/>
      <c r="PT226" s="2076"/>
      <c r="PU226" s="2076"/>
      <c r="PV226" s="2076"/>
      <c r="PW226" s="2076"/>
      <c r="PX226" s="2076"/>
      <c r="PY226" s="2076"/>
      <c r="PZ226" s="2076"/>
      <c r="QA226" s="2076"/>
      <c r="QB226" s="2076"/>
      <c r="QC226" s="2076"/>
      <c r="QD226" s="2076"/>
      <c r="QE226" s="2076"/>
      <c r="QF226" s="2076"/>
      <c r="QG226" s="2076"/>
      <c r="QH226" s="2076"/>
      <c r="QI226" s="2076"/>
      <c r="QJ226" s="2076"/>
      <c r="QK226" s="2076"/>
      <c r="QL226" s="2076"/>
      <c r="QM226" s="2076"/>
      <c r="QN226" s="2076"/>
      <c r="QO226" s="2076"/>
      <c r="QP226" s="2076"/>
      <c r="QQ226" s="2076"/>
      <c r="QR226" s="2076"/>
      <c r="QS226" s="2076"/>
      <c r="QT226" s="2076"/>
      <c r="QU226" s="2076"/>
      <c r="QV226" s="2076"/>
      <c r="QW226" s="2076"/>
      <c r="QX226" s="2076"/>
      <c r="QY226" s="2076"/>
      <c r="QZ226" s="2076"/>
      <c r="RA226" s="2076"/>
      <c r="RB226" s="2076"/>
      <c r="RC226" s="2076"/>
      <c r="RD226" s="2076"/>
      <c r="RE226" s="2076"/>
      <c r="RF226" s="2076"/>
      <c r="RG226" s="2076"/>
      <c r="RH226" s="2076"/>
      <c r="RI226" s="2076"/>
      <c r="RJ226" s="2076"/>
      <c r="RK226" s="2076"/>
      <c r="RL226" s="2076"/>
      <c r="RM226" s="2076"/>
      <c r="RN226" s="2076"/>
      <c r="RO226" s="2076"/>
      <c r="RP226" s="2076"/>
      <c r="RQ226" s="2076"/>
      <c r="RR226" s="2076"/>
      <c r="RS226" s="2076"/>
      <c r="RT226" s="2076"/>
      <c r="RU226" s="2076"/>
      <c r="RV226" s="2076"/>
      <c r="RW226" s="2076"/>
      <c r="RX226" s="2076"/>
      <c r="RY226" s="2076"/>
      <c r="RZ226" s="2076"/>
      <c r="SA226" s="2076"/>
      <c r="SB226" s="2076"/>
      <c r="SC226" s="2076"/>
      <c r="SD226" s="2076"/>
      <c r="SE226" s="2076"/>
      <c r="SF226" s="2076"/>
      <c r="SG226" s="2076"/>
      <c r="SH226" s="2076"/>
      <c r="SI226" s="2076"/>
      <c r="SJ226" s="2076"/>
      <c r="SK226" s="2076"/>
      <c r="SL226" s="2076"/>
      <c r="SM226" s="2076"/>
      <c r="SN226" s="2076"/>
      <c r="SO226" s="2076"/>
      <c r="SP226" s="2076"/>
      <c r="SQ226" s="2076"/>
      <c r="SR226" s="2076"/>
      <c r="SS226" s="2076"/>
      <c r="ST226" s="2076"/>
      <c r="SU226" s="2076"/>
      <c r="SV226" s="2076"/>
      <c r="SW226" s="2076"/>
      <c r="SX226" s="2076"/>
      <c r="SY226" s="2076"/>
      <c r="SZ226" s="2076"/>
      <c r="TA226" s="2076"/>
      <c r="TB226" s="2076"/>
      <c r="TC226" s="2076"/>
      <c r="TD226" s="2076"/>
      <c r="TE226" s="2076"/>
      <c r="TF226" s="2076"/>
      <c r="TG226" s="2076"/>
      <c r="TH226" s="2076"/>
      <c r="TI226" s="2076"/>
      <c r="TJ226" s="2076"/>
      <c r="TK226" s="2076"/>
      <c r="TL226" s="2076"/>
      <c r="TM226" s="2076"/>
      <c r="TN226" s="2076"/>
      <c r="TO226" s="2076"/>
      <c r="TP226" s="2076"/>
      <c r="TQ226" s="2076"/>
      <c r="TR226" s="2076"/>
      <c r="TS226" s="2076"/>
      <c r="TT226" s="2076"/>
      <c r="TU226" s="2076"/>
      <c r="TV226" s="2076"/>
      <c r="TW226" s="2076"/>
      <c r="TX226" s="2076"/>
      <c r="TY226" s="2076"/>
      <c r="TZ226" s="2076"/>
      <c r="UA226" s="2076"/>
      <c r="UB226" s="2076"/>
      <c r="UC226" s="2076"/>
      <c r="UD226" s="2076"/>
      <c r="UE226" s="2076"/>
      <c r="UF226" s="2076"/>
      <c r="UG226" s="2076"/>
      <c r="UH226" s="2076"/>
      <c r="UI226" s="2076"/>
      <c r="UJ226" s="2076"/>
      <c r="UK226" s="2076"/>
      <c r="UL226" s="2076"/>
      <c r="UM226" s="2076"/>
      <c r="UN226" s="2076"/>
      <c r="UO226" s="2076"/>
      <c r="UP226" s="2076"/>
      <c r="UQ226" s="2076"/>
      <c r="UR226" s="2076"/>
      <c r="US226" s="2076"/>
      <c r="UT226" s="2076"/>
      <c r="UU226" s="2076"/>
      <c r="UV226" s="2076"/>
      <c r="UW226" s="2076"/>
      <c r="UX226" s="2076"/>
      <c r="UY226" s="2076"/>
      <c r="UZ226" s="2076"/>
      <c r="VA226" s="2076"/>
      <c r="VB226" s="2076"/>
      <c r="VC226" s="2076"/>
      <c r="VD226" s="2076"/>
      <c r="VE226" s="2076"/>
      <c r="VF226" s="2076"/>
      <c r="VG226" s="2076"/>
      <c r="VH226" s="2076"/>
      <c r="VI226" s="2076"/>
      <c r="VJ226" s="2076"/>
      <c r="VK226" s="2076"/>
      <c r="VL226" s="2076"/>
      <c r="VM226" s="2076"/>
      <c r="VN226" s="2076"/>
      <c r="VO226" s="2076"/>
      <c r="VP226" s="2076"/>
      <c r="VQ226" s="2076"/>
      <c r="VR226" s="2076"/>
      <c r="VS226" s="2076"/>
      <c r="VT226" s="2076"/>
      <c r="VU226" s="2076"/>
      <c r="VV226" s="2076"/>
      <c r="VW226" s="2076"/>
      <c r="VX226" s="2076"/>
      <c r="VY226" s="2076"/>
      <c r="VZ226" s="2076"/>
      <c r="WA226" s="2076"/>
      <c r="WB226" s="2076"/>
      <c r="WC226" s="2076"/>
      <c r="WD226" s="2076"/>
      <c r="WE226" s="2076"/>
      <c r="WF226" s="2076"/>
      <c r="WG226" s="2076"/>
      <c r="WH226" s="2076"/>
      <c r="WI226" s="2076"/>
      <c r="WJ226" s="2076"/>
      <c r="WK226" s="2076"/>
      <c r="WL226" s="2076"/>
      <c r="WM226" s="2076"/>
      <c r="WN226" s="2076"/>
      <c r="WO226" s="2076"/>
      <c r="WP226" s="2076"/>
      <c r="WQ226" s="2076"/>
      <c r="WR226" s="2076"/>
      <c r="WS226" s="2076"/>
      <c r="WT226" s="2076"/>
      <c r="WU226" s="2076"/>
      <c r="WV226" s="2076"/>
      <c r="WW226" s="2076"/>
      <c r="WX226" s="2076"/>
      <c r="WY226" s="2076"/>
      <c r="WZ226" s="2076"/>
      <c r="XA226" s="2076"/>
      <c r="XB226" s="2076"/>
      <c r="XC226" s="2076"/>
      <c r="XD226" s="2076"/>
      <c r="XE226" s="2076"/>
      <c r="XF226" s="2076"/>
      <c r="XG226" s="2076"/>
      <c r="XH226" s="2076"/>
      <c r="XI226" s="2076"/>
      <c r="XJ226" s="2076"/>
      <c r="XK226" s="2076"/>
      <c r="XL226" s="2076"/>
      <c r="XM226" s="2076"/>
      <c r="XN226" s="2076"/>
      <c r="XO226" s="2076"/>
      <c r="XP226" s="2076"/>
      <c r="XQ226" s="2076"/>
      <c r="XR226" s="2076"/>
      <c r="XS226" s="2076"/>
      <c r="XT226" s="2076"/>
      <c r="XU226" s="2076"/>
      <c r="XV226" s="2076"/>
      <c r="XW226" s="2076"/>
      <c r="XX226" s="2076"/>
      <c r="XY226" s="2076"/>
      <c r="XZ226" s="2076"/>
      <c r="YA226" s="2076"/>
      <c r="YB226" s="2076"/>
      <c r="YC226" s="2076"/>
      <c r="YD226" s="2076"/>
      <c r="YE226" s="2076"/>
      <c r="YF226" s="2076"/>
      <c r="YG226" s="2076"/>
      <c r="YH226" s="2076"/>
      <c r="YI226" s="2076"/>
      <c r="YJ226" s="2076"/>
      <c r="YK226" s="2076"/>
      <c r="YL226" s="2076"/>
      <c r="YM226" s="2076"/>
      <c r="YN226" s="2076"/>
      <c r="YO226" s="2076"/>
      <c r="YP226" s="2076"/>
      <c r="YQ226" s="2076"/>
      <c r="YR226" s="2076"/>
      <c r="YS226" s="2076"/>
      <c r="YT226" s="2076"/>
      <c r="YU226" s="2076"/>
      <c r="YV226" s="2076"/>
      <c r="YW226" s="2076"/>
      <c r="YX226" s="2076"/>
      <c r="YY226" s="2076"/>
      <c r="YZ226" s="2076"/>
      <c r="ZA226" s="2076"/>
      <c r="ZB226" s="2076"/>
      <c r="ZC226" s="2076"/>
      <c r="ZD226" s="2076"/>
      <c r="ZE226" s="2076"/>
      <c r="ZF226" s="2076"/>
      <c r="ZG226" s="2076"/>
      <c r="ZH226" s="2076"/>
      <c r="ZI226" s="2076"/>
      <c r="ZJ226" s="2076"/>
      <c r="ZK226" s="2076"/>
      <c r="ZL226" s="2076"/>
      <c r="ZM226" s="2076"/>
      <c r="ZN226" s="2076"/>
      <c r="ZO226" s="2076"/>
      <c r="ZP226" s="2076"/>
      <c r="ZQ226" s="2076"/>
      <c r="ZR226" s="2076"/>
      <c r="ZS226" s="2076"/>
      <c r="ZT226" s="2076"/>
      <c r="ZU226" s="2076"/>
      <c r="ZV226" s="2076"/>
      <c r="ZW226" s="2076"/>
      <c r="ZX226" s="2076"/>
      <c r="ZY226" s="2076"/>
      <c r="ZZ226" s="2076"/>
      <c r="AAA226" s="2076"/>
      <c r="AAB226" s="2076"/>
      <c r="AAC226" s="2076"/>
      <c r="AAD226" s="2076"/>
      <c r="AAE226" s="2076"/>
      <c r="AAF226" s="2076"/>
      <c r="AAG226" s="2076"/>
      <c r="AAH226" s="2076"/>
      <c r="AAI226" s="2076"/>
      <c r="AAJ226" s="2076"/>
      <c r="AAK226" s="2076"/>
      <c r="AAL226" s="2076"/>
      <c r="AAM226" s="2076"/>
      <c r="AAN226" s="2076"/>
      <c r="AAO226" s="2076"/>
      <c r="AAP226" s="2076"/>
      <c r="AAQ226" s="2076"/>
      <c r="AAR226" s="2076"/>
      <c r="AAS226" s="2076"/>
      <c r="AAT226" s="2076"/>
      <c r="AAU226" s="2076"/>
      <c r="AAV226" s="2076"/>
      <c r="AAW226" s="2076"/>
      <c r="AAX226" s="2076"/>
      <c r="AAY226" s="2076"/>
      <c r="AAZ226" s="2076"/>
      <c r="ABA226" s="2076"/>
      <c r="ABB226" s="2076"/>
      <c r="ABC226" s="2076"/>
      <c r="ABD226" s="2076"/>
      <c r="ABE226" s="2076"/>
      <c r="ABF226" s="2076"/>
      <c r="ABG226" s="2076"/>
      <c r="ABH226" s="2076"/>
      <c r="ABI226" s="2076"/>
      <c r="ABJ226" s="2076"/>
      <c r="ABK226" s="2076"/>
      <c r="ABL226" s="2076"/>
      <c r="ABM226" s="2076"/>
      <c r="ABN226" s="2076"/>
      <c r="ABO226" s="2076"/>
      <c r="ABP226" s="2076"/>
      <c r="ABQ226" s="2076"/>
      <c r="ABR226" s="2076"/>
      <c r="ABS226" s="2076"/>
      <c r="ABT226" s="2076"/>
      <c r="ABU226" s="2076"/>
      <c r="ABV226" s="2076"/>
      <c r="ABW226" s="2076"/>
      <c r="ABX226" s="2076"/>
      <c r="ABY226" s="2076"/>
      <c r="ABZ226" s="2076"/>
      <c r="ACA226" s="2076"/>
      <c r="ACB226" s="2076"/>
      <c r="ACC226" s="2076"/>
      <c r="ACD226" s="2076"/>
      <c r="ACE226" s="2076"/>
      <c r="ACF226" s="2076"/>
      <c r="ACG226" s="2076"/>
      <c r="ACH226" s="2076"/>
      <c r="ACI226" s="2076"/>
      <c r="ACJ226" s="2076"/>
      <c r="ACK226" s="2076"/>
      <c r="ACL226" s="2076"/>
      <c r="ACM226" s="2076"/>
      <c r="ACN226" s="2076"/>
      <c r="ACO226" s="2076"/>
      <c r="ACP226" s="2076"/>
      <c r="ACQ226" s="2076"/>
      <c r="ACR226" s="2076"/>
      <c r="ACS226" s="2076"/>
      <c r="ACT226" s="2076"/>
      <c r="ACU226" s="2076"/>
      <c r="ACV226" s="2076"/>
      <c r="ACW226" s="2076"/>
      <c r="ACX226" s="2076"/>
      <c r="ACY226" s="2076"/>
      <c r="ACZ226" s="2076"/>
      <c r="ADA226" s="2076"/>
      <c r="ADB226" s="2076"/>
      <c r="ADC226" s="2076"/>
      <c r="ADD226" s="2076"/>
      <c r="ADE226" s="2076"/>
      <c r="ADF226" s="2076"/>
      <c r="ADG226" s="2076"/>
      <c r="ADH226" s="2076"/>
      <c r="ADI226" s="2076"/>
      <c r="ADJ226" s="2076"/>
      <c r="ADK226" s="2076"/>
      <c r="ADL226" s="2076"/>
      <c r="ADM226" s="2076"/>
      <c r="ADN226" s="2076"/>
      <c r="ADO226" s="2076"/>
      <c r="ADP226" s="2076"/>
      <c r="ADQ226" s="2076"/>
      <c r="ADR226" s="2076"/>
      <c r="ADS226" s="2076"/>
      <c r="ADT226" s="2076"/>
      <c r="ADU226" s="2076"/>
      <c r="ADV226" s="2076"/>
      <c r="ADW226" s="2076"/>
      <c r="ADX226" s="2076"/>
      <c r="ADY226" s="2076"/>
      <c r="ADZ226" s="2076"/>
      <c r="AEA226" s="2076"/>
      <c r="AEB226" s="2076"/>
      <c r="AEC226" s="2076"/>
      <c r="AED226" s="2076"/>
      <c r="AEE226" s="2076"/>
      <c r="AEF226" s="2076"/>
      <c r="AEG226" s="2076"/>
      <c r="AEH226" s="2076"/>
      <c r="AEI226" s="2076"/>
      <c r="AEJ226" s="2076"/>
      <c r="AEK226" s="2076"/>
      <c r="AEL226" s="2076"/>
      <c r="AEM226" s="2076"/>
      <c r="AEN226" s="2076"/>
      <c r="AEO226" s="2076"/>
      <c r="AEP226" s="2076"/>
      <c r="AEQ226" s="2076"/>
      <c r="AER226" s="2076"/>
      <c r="AES226" s="2076"/>
      <c r="AET226" s="2076"/>
      <c r="AEU226" s="2076"/>
      <c r="AEV226" s="2076"/>
      <c r="AEW226" s="2076"/>
      <c r="AEX226" s="2076"/>
      <c r="AEY226" s="2076"/>
      <c r="AEZ226" s="2076"/>
      <c r="AFA226" s="2076"/>
      <c r="AFB226" s="2076"/>
      <c r="AFC226" s="2076"/>
      <c r="AFD226" s="2076"/>
      <c r="AFE226" s="2076"/>
      <c r="AFF226" s="2076"/>
      <c r="AFG226" s="2076"/>
      <c r="AFH226" s="2076"/>
      <c r="AFI226" s="2076"/>
      <c r="AFJ226" s="2076"/>
      <c r="AFK226" s="2076"/>
      <c r="AFL226" s="2076"/>
      <c r="AFM226" s="2076"/>
      <c r="AFN226" s="2076"/>
      <c r="AFO226" s="2076"/>
      <c r="AFP226" s="2076"/>
      <c r="AFQ226" s="2076"/>
      <c r="AFR226" s="2076"/>
      <c r="AFS226" s="2076"/>
      <c r="AFT226" s="2076"/>
      <c r="AFU226" s="2076"/>
      <c r="AFV226" s="2076"/>
      <c r="AFW226" s="2076"/>
      <c r="AFX226" s="2076"/>
      <c r="AFY226" s="2076"/>
      <c r="AFZ226" s="2076"/>
      <c r="AGA226" s="2076"/>
      <c r="AGB226" s="2076"/>
      <c r="AGC226" s="2076"/>
      <c r="AGD226" s="2076"/>
      <c r="AGE226" s="2076"/>
      <c r="AGF226" s="2076"/>
      <c r="AGG226" s="2076"/>
      <c r="AGH226" s="2076"/>
      <c r="AGI226" s="2076"/>
      <c r="AGJ226" s="2076"/>
      <c r="AGK226" s="2076"/>
      <c r="AGL226" s="2076"/>
      <c r="AGM226" s="2076"/>
      <c r="AGN226" s="2076"/>
      <c r="AGO226" s="2076"/>
      <c r="AGP226" s="2076"/>
      <c r="AGQ226" s="2076"/>
      <c r="AGR226" s="2076"/>
      <c r="AGS226" s="2076"/>
      <c r="AGT226" s="2076"/>
      <c r="AGU226" s="2076"/>
      <c r="AGV226" s="2076"/>
      <c r="AGW226" s="2076"/>
      <c r="AGX226" s="2076"/>
      <c r="AGY226" s="2076"/>
      <c r="AGZ226" s="2076"/>
      <c r="AHA226" s="2076"/>
      <c r="AHB226" s="2076"/>
      <c r="AHC226" s="2076"/>
      <c r="AHD226" s="2076"/>
      <c r="AHE226" s="2076"/>
      <c r="AHF226" s="2076"/>
      <c r="AHG226" s="2076"/>
      <c r="AHH226" s="2076"/>
      <c r="AHI226" s="2076"/>
      <c r="AHJ226" s="2076"/>
      <c r="AHK226" s="2076"/>
      <c r="AHL226" s="2076"/>
      <c r="AHM226" s="2076"/>
      <c r="AHN226" s="2076"/>
      <c r="AHO226" s="2076"/>
      <c r="AHP226" s="2076"/>
      <c r="AHQ226" s="2076"/>
      <c r="AHR226" s="2076"/>
      <c r="AHS226" s="2076"/>
      <c r="AHT226" s="2076"/>
      <c r="AHU226" s="2076"/>
      <c r="AHV226" s="2076"/>
      <c r="AHW226" s="2076"/>
      <c r="AHX226" s="2076"/>
      <c r="AHY226" s="2076"/>
      <c r="AHZ226" s="2076"/>
      <c r="AIA226" s="2076"/>
      <c r="AIB226" s="2076"/>
      <c r="AIC226" s="2076"/>
      <c r="AID226" s="2076"/>
      <c r="AIE226" s="2076"/>
      <c r="AIF226" s="2076"/>
      <c r="AIG226" s="2076"/>
      <c r="AIH226" s="2076"/>
      <c r="AII226" s="2076"/>
      <c r="AIJ226" s="2076"/>
      <c r="AIK226" s="2076"/>
      <c r="AIL226" s="2076"/>
      <c r="AIM226" s="2076"/>
      <c r="AIN226" s="2076"/>
      <c r="AIO226" s="2076"/>
      <c r="AIP226" s="2076"/>
      <c r="AIQ226" s="2076"/>
      <c r="AIR226" s="2076"/>
      <c r="AIS226" s="2076"/>
      <c r="AIT226" s="2076"/>
      <c r="AIU226" s="2076"/>
      <c r="AIV226" s="2076"/>
      <c r="AIW226" s="2076"/>
      <c r="AIX226" s="2076"/>
      <c r="AIY226" s="2076"/>
      <c r="AIZ226" s="2076"/>
      <c r="AJA226" s="2076"/>
      <c r="AJB226" s="2076"/>
      <c r="AJC226" s="2076"/>
      <c r="AJD226" s="2076"/>
      <c r="AJE226" s="2076"/>
      <c r="AJF226" s="2076"/>
      <c r="AJG226" s="2076"/>
      <c r="AJH226" s="2076"/>
      <c r="AJI226" s="2076"/>
      <c r="AJJ226" s="2076"/>
      <c r="AJK226" s="2076"/>
      <c r="AJL226" s="2076"/>
      <c r="AJM226" s="2076"/>
      <c r="AJN226" s="2076"/>
      <c r="AJO226" s="2076"/>
      <c r="AJP226" s="2076"/>
      <c r="AJQ226" s="2076"/>
      <c r="AJR226" s="2076"/>
      <c r="AJS226" s="2076"/>
      <c r="AJT226" s="2076"/>
      <c r="AJU226" s="2076"/>
      <c r="AJV226" s="2076"/>
      <c r="AJW226" s="2076"/>
      <c r="AJX226" s="2076"/>
      <c r="AJY226" s="2076"/>
      <c r="AJZ226" s="2076"/>
      <c r="AKA226" s="2076"/>
      <c r="AKB226" s="2076"/>
      <c r="AKC226" s="2076"/>
      <c r="AKD226" s="2076"/>
      <c r="AKE226" s="2076"/>
      <c r="AKF226" s="2076"/>
      <c r="AKG226" s="2076"/>
      <c r="AKH226" s="2076"/>
      <c r="AKI226" s="2076"/>
      <c r="AKJ226" s="2076"/>
      <c r="AKK226" s="2076"/>
      <c r="AKL226" s="2076"/>
      <c r="AKM226" s="2076"/>
      <c r="AKN226" s="2076"/>
      <c r="AKO226" s="2076"/>
      <c r="AKP226" s="2076"/>
      <c r="AKQ226" s="2076"/>
      <c r="AKR226" s="2076"/>
      <c r="AKS226" s="2076"/>
      <c r="AKT226" s="2076"/>
      <c r="AKU226" s="2076"/>
      <c r="AKV226" s="2076"/>
      <c r="AKW226" s="2076"/>
      <c r="AKX226" s="2076"/>
      <c r="AKY226" s="2076"/>
      <c r="AKZ226" s="2076"/>
      <c r="ALA226" s="2076"/>
      <c r="ALB226" s="2076"/>
      <c r="ALC226" s="2076"/>
      <c r="ALD226" s="2076"/>
      <c r="ALE226" s="2076"/>
      <c r="ALF226" s="2076"/>
      <c r="ALG226" s="2076"/>
      <c r="ALH226" s="2076"/>
      <c r="ALI226" s="2076"/>
      <c r="ALJ226" s="2076"/>
      <c r="ALK226" s="2076"/>
      <c r="ALL226" s="2076"/>
      <c r="ALM226" s="2076"/>
      <c r="ALN226" s="2076"/>
      <c r="ALO226" s="2076"/>
      <c r="ALP226" s="2076"/>
      <c r="ALQ226" s="2076"/>
      <c r="ALR226" s="2076"/>
      <c r="ALS226" s="2076"/>
      <c r="ALT226" s="2076"/>
      <c r="ALU226" s="2076"/>
      <c r="ALV226" s="2076"/>
      <c r="ALW226" s="2076"/>
      <c r="ALX226" s="2076"/>
      <c r="ALY226" s="2076"/>
      <c r="ALZ226" s="2076"/>
      <c r="AMA226" s="2076"/>
      <c r="AMB226" s="2076"/>
      <c r="AMC226" s="2076"/>
      <c r="AMD226" s="2076"/>
      <c r="AME226" s="2076"/>
      <c r="AMF226" s="2076"/>
      <c r="AMG226" s="2076"/>
      <c r="AMH226" s="2076"/>
      <c r="AMI226" s="2076"/>
      <c r="AMJ226" s="2076"/>
      <c r="AMK226" s="2076"/>
      <c r="AML226" s="2076"/>
      <c r="AMM226" s="2076"/>
      <c r="AMN226" s="2076"/>
      <c r="AMO226" s="2076"/>
      <c r="AMP226" s="2076"/>
      <c r="AMQ226" s="2076"/>
      <c r="AMR226" s="2076"/>
      <c r="AMS226" s="2076"/>
      <c r="AMT226" s="2076"/>
      <c r="AMU226" s="2076"/>
      <c r="AMV226" s="2076"/>
      <c r="AMW226" s="2076"/>
      <c r="AMX226" s="2076"/>
      <c r="AMY226" s="2076"/>
      <c r="AMZ226" s="2076"/>
      <c r="ANA226" s="2076"/>
      <c r="ANB226" s="2076"/>
      <c r="ANC226" s="2076"/>
      <c r="AND226" s="2076"/>
      <c r="ANE226" s="2076"/>
      <c r="ANF226" s="2076"/>
      <c r="ANG226" s="2076"/>
      <c r="ANH226" s="2076"/>
      <c r="ANI226" s="2076"/>
      <c r="ANJ226" s="2076"/>
      <c r="ANK226" s="2076"/>
      <c r="ANL226" s="2076"/>
      <c r="ANM226" s="2076"/>
      <c r="ANN226" s="2076"/>
      <c r="ANO226" s="2076"/>
      <c r="ANP226" s="2076"/>
      <c r="ANQ226" s="2076"/>
      <c r="ANR226" s="2076"/>
      <c r="ANS226" s="2076"/>
      <c r="ANT226" s="2076"/>
      <c r="ANU226" s="2076"/>
      <c r="ANV226" s="2076"/>
      <c r="ANW226" s="2076"/>
      <c r="ANX226" s="2076"/>
      <c r="ANY226" s="2076"/>
      <c r="ANZ226" s="2076"/>
      <c r="AOA226" s="2076"/>
      <c r="AOB226" s="2076"/>
      <c r="AOC226" s="2076"/>
      <c r="AOD226" s="2076"/>
      <c r="AOE226" s="2076"/>
      <c r="AOF226" s="2076"/>
      <c r="AOG226" s="2076"/>
      <c r="AOH226" s="2076"/>
      <c r="AOI226" s="2076"/>
      <c r="AOJ226" s="2076"/>
      <c r="AOK226" s="2076"/>
      <c r="AOL226" s="2076"/>
      <c r="AOM226" s="2076"/>
      <c r="AON226" s="2076"/>
      <c r="AOO226" s="2076"/>
      <c r="AOP226" s="2076"/>
      <c r="AOQ226" s="2076"/>
      <c r="AOR226" s="2076"/>
      <c r="AOS226" s="2076"/>
      <c r="AOT226" s="2076"/>
      <c r="AOU226" s="2076"/>
      <c r="AOV226" s="2076"/>
      <c r="AOW226" s="2076"/>
      <c r="AOX226" s="2076"/>
      <c r="AOY226" s="2076"/>
      <c r="AOZ226" s="2076"/>
      <c r="APA226" s="2076"/>
      <c r="APB226" s="2076"/>
      <c r="APC226" s="2076"/>
      <c r="APD226" s="2076"/>
      <c r="APE226" s="2076"/>
      <c r="APF226" s="2076"/>
      <c r="APG226" s="2076"/>
      <c r="APH226" s="2076"/>
      <c r="API226" s="2076"/>
      <c r="APJ226" s="2076"/>
      <c r="APK226" s="2076"/>
      <c r="APL226" s="2076"/>
      <c r="APM226" s="2076"/>
      <c r="APN226" s="2076"/>
      <c r="APO226" s="2076"/>
      <c r="APP226" s="2076"/>
      <c r="APQ226" s="2076"/>
      <c r="APR226" s="2076"/>
      <c r="APS226" s="2076"/>
      <c r="APT226" s="2076"/>
      <c r="APU226" s="2076"/>
      <c r="APV226" s="2076"/>
      <c r="APW226" s="2076"/>
      <c r="APX226" s="2076"/>
      <c r="APY226" s="2076"/>
      <c r="APZ226" s="2076"/>
      <c r="AQA226" s="2076"/>
      <c r="AQB226" s="2076"/>
      <c r="AQC226" s="2076"/>
      <c r="AQD226" s="2076"/>
      <c r="AQE226" s="2076"/>
      <c r="AQF226" s="2076"/>
      <c r="AQG226" s="2076"/>
      <c r="AQH226" s="2076"/>
      <c r="AQI226" s="2076"/>
      <c r="AQJ226" s="2076"/>
      <c r="AQK226" s="2076"/>
      <c r="AQL226" s="2076"/>
      <c r="AQM226" s="2076"/>
      <c r="AQN226" s="2076"/>
      <c r="AQO226" s="2076"/>
      <c r="AQP226" s="2076"/>
      <c r="AQQ226" s="2076"/>
      <c r="AQR226" s="2076"/>
      <c r="AQS226" s="2076"/>
      <c r="AQT226" s="2076"/>
      <c r="AQU226" s="2076"/>
      <c r="AQV226" s="2076"/>
      <c r="AQW226" s="2076"/>
      <c r="AQX226" s="2076"/>
      <c r="AQY226" s="2076"/>
      <c r="AQZ226" s="2076"/>
      <c r="ARA226" s="2076"/>
      <c r="ARB226" s="2076"/>
      <c r="ARC226" s="2076"/>
      <c r="ARD226" s="2076"/>
      <c r="ARE226" s="2076"/>
      <c r="ARF226" s="2076"/>
      <c r="ARG226" s="2076"/>
      <c r="ARH226" s="2076"/>
      <c r="ARI226" s="2076"/>
      <c r="ARJ226" s="2076"/>
      <c r="ARK226" s="2076"/>
      <c r="ARL226" s="2076"/>
      <c r="ARM226" s="2076"/>
      <c r="ARN226" s="2076"/>
      <c r="ARO226" s="2076"/>
      <c r="ARP226" s="2076"/>
      <c r="ARQ226" s="2076"/>
      <c r="ARR226" s="2076"/>
      <c r="ARS226" s="2076"/>
      <c r="ART226" s="2076"/>
      <c r="ARU226" s="2076"/>
      <c r="ARV226" s="2076"/>
      <c r="ARW226" s="2076"/>
      <c r="ARX226" s="2076"/>
      <c r="ARY226" s="2076"/>
      <c r="ARZ226" s="2076"/>
      <c r="ASA226" s="2076"/>
      <c r="ASB226" s="2076"/>
      <c r="ASC226" s="2076"/>
      <c r="ASD226" s="2076"/>
      <c r="ASE226" s="2076"/>
      <c r="ASF226" s="2076"/>
      <c r="ASG226" s="2076"/>
      <c r="ASH226" s="2076"/>
      <c r="ASI226" s="2076"/>
      <c r="ASJ226" s="2076"/>
      <c r="ASK226" s="2076"/>
      <c r="ASL226" s="2076"/>
      <c r="ASM226" s="2076"/>
      <c r="ASN226" s="2076"/>
      <c r="ASO226" s="2076"/>
      <c r="ASP226" s="2076"/>
      <c r="ASQ226" s="2076"/>
      <c r="ASR226" s="2076"/>
      <c r="ASS226" s="2076"/>
      <c r="AST226" s="2076"/>
      <c r="ASU226" s="2076"/>
      <c r="ASV226" s="2076"/>
      <c r="ASW226" s="2076"/>
      <c r="ASX226" s="2076"/>
      <c r="ASY226" s="2076"/>
      <c r="ASZ226" s="2076"/>
      <c r="ATA226" s="2076"/>
      <c r="ATB226" s="2076"/>
      <c r="ATC226" s="2076"/>
      <c r="ATD226" s="2076"/>
      <c r="ATE226" s="2076"/>
      <c r="ATF226" s="2076"/>
      <c r="ATG226" s="2076"/>
      <c r="ATH226" s="2076"/>
      <c r="ATI226" s="2076"/>
      <c r="ATJ226" s="2076"/>
      <c r="ATK226" s="2076"/>
      <c r="ATL226" s="2076"/>
      <c r="ATM226" s="2076"/>
      <c r="ATN226" s="2076"/>
      <c r="ATO226" s="2076"/>
      <c r="ATP226" s="2076"/>
      <c r="ATQ226" s="2076"/>
      <c r="ATR226" s="2076"/>
      <c r="ATS226" s="2076"/>
      <c r="ATT226" s="2076"/>
      <c r="ATU226" s="2076"/>
      <c r="ATV226" s="2076"/>
      <c r="ATW226" s="2076"/>
      <c r="ATX226" s="2076"/>
      <c r="ATY226" s="2076"/>
      <c r="ATZ226" s="2076"/>
      <c r="AUA226" s="2076"/>
      <c r="AUB226" s="2076"/>
      <c r="AUC226" s="2076"/>
      <c r="AUD226" s="2076"/>
      <c r="AUE226" s="2076"/>
      <c r="AUF226" s="2076"/>
      <c r="AUG226" s="2076"/>
      <c r="AUH226" s="2076"/>
      <c r="AUI226" s="2076"/>
      <c r="AUJ226" s="2076"/>
      <c r="AUK226" s="2076"/>
      <c r="AUL226" s="2076"/>
      <c r="AUM226" s="2076"/>
      <c r="AUN226" s="2076"/>
      <c r="AUO226" s="2076"/>
      <c r="AUP226" s="2076"/>
      <c r="AUQ226" s="2076"/>
      <c r="AUR226" s="2076"/>
      <c r="AUS226" s="2076"/>
      <c r="AUT226" s="2076"/>
      <c r="AUU226" s="2076"/>
      <c r="AUV226" s="2076"/>
      <c r="AUW226" s="2076"/>
      <c r="AUX226" s="2076"/>
      <c r="AUY226" s="2076"/>
      <c r="AUZ226" s="2076"/>
      <c r="AVA226" s="2076"/>
      <c r="AVB226" s="2076"/>
      <c r="AVC226" s="2076"/>
      <c r="AVD226" s="2076"/>
      <c r="AVE226" s="2076"/>
      <c r="AVF226" s="2076"/>
      <c r="AVG226" s="2076"/>
      <c r="AVH226" s="2076"/>
      <c r="AVI226" s="2076"/>
      <c r="AVJ226" s="2076"/>
      <c r="AVK226" s="2076"/>
      <c r="AVL226" s="2076"/>
      <c r="AVM226" s="2076"/>
      <c r="AVN226" s="2076"/>
      <c r="AVO226" s="2076"/>
      <c r="AVP226" s="2076"/>
      <c r="AVQ226" s="2076"/>
      <c r="AVR226" s="2076"/>
      <c r="AVS226" s="2076"/>
      <c r="AVT226" s="2076"/>
      <c r="AVU226" s="2076"/>
      <c r="AVV226" s="2076"/>
      <c r="AVW226" s="2076"/>
      <c r="AVX226" s="2076"/>
      <c r="AVY226" s="2076"/>
      <c r="AVZ226" s="2076"/>
      <c r="AWA226" s="2076"/>
      <c r="AWB226" s="2076"/>
      <c r="AWC226" s="2076"/>
      <c r="AWD226" s="2076"/>
      <c r="AWE226" s="2076"/>
      <c r="AWF226" s="2076"/>
      <c r="AWG226" s="2076"/>
      <c r="AWH226" s="2076"/>
      <c r="AWI226" s="2076"/>
      <c r="AWJ226" s="2076"/>
      <c r="AWK226" s="2076"/>
      <c r="AWL226" s="2076"/>
      <c r="AWM226" s="2076"/>
      <c r="AWN226" s="2076"/>
      <c r="AWO226" s="2076"/>
      <c r="AWP226" s="2076"/>
      <c r="AWQ226" s="2076"/>
      <c r="AWR226" s="2076"/>
      <c r="AWS226" s="2076"/>
      <c r="AWT226" s="2076"/>
      <c r="AWU226" s="2076"/>
      <c r="AWV226" s="2076"/>
      <c r="AWW226" s="2076"/>
      <c r="AWX226" s="2076"/>
      <c r="AWY226" s="2076"/>
      <c r="AWZ226" s="2076"/>
      <c r="AXA226" s="2076"/>
      <c r="AXB226" s="2076"/>
      <c r="AXC226" s="2076"/>
      <c r="AXD226" s="2076"/>
      <c r="AXE226" s="2076"/>
      <c r="AXF226" s="2076"/>
      <c r="AXG226" s="2076"/>
      <c r="AXH226" s="2076"/>
      <c r="AXI226" s="2076"/>
      <c r="AXJ226" s="2076"/>
    </row>
    <row r="227" spans="1:1310" s="2077" customFormat="1" ht="23.25" customHeight="1">
      <c r="A227" s="2092"/>
      <c r="B227" s="3238" t="s">
        <v>2365</v>
      </c>
      <c r="C227" s="3238"/>
      <c r="D227" s="3238"/>
      <c r="E227" s="3238"/>
      <c r="F227" s="2086"/>
      <c r="G227" s="3238" t="s">
        <v>2366</v>
      </c>
      <c r="H227" s="3238"/>
      <c r="I227" s="3238"/>
      <c r="J227" s="2086"/>
      <c r="K227" s="3238" t="s">
        <v>2367</v>
      </c>
      <c r="L227" s="3238"/>
      <c r="M227" s="3238"/>
      <c r="N227" s="2086"/>
      <c r="O227" s="3238" t="s">
        <v>2368</v>
      </c>
      <c r="P227" s="3238"/>
      <c r="Q227" s="2086"/>
      <c r="R227" s="755"/>
      <c r="S227" s="755"/>
      <c r="T227" s="755"/>
      <c r="U227" s="755"/>
      <c r="V227" s="755"/>
      <c r="W227" s="755"/>
      <c r="X227" s="755"/>
      <c r="Y227" s="755"/>
      <c r="Z227" s="755"/>
      <c r="AA227" s="755"/>
      <c r="AB227" s="755"/>
      <c r="AC227" s="755"/>
      <c r="AD227" s="2075"/>
      <c r="AE227" s="2075"/>
      <c r="AF227" s="2075"/>
      <c r="AG227" s="2075"/>
      <c r="AH227" s="2075"/>
      <c r="AI227" s="2075"/>
      <c r="AJ227" s="2075"/>
      <c r="AK227" s="2075"/>
      <c r="AL227" s="2075"/>
      <c r="AM227" s="2075"/>
      <c r="AN227" s="2075"/>
      <c r="AO227" s="2075"/>
      <c r="AP227" s="2075"/>
      <c r="AQ227" s="2075"/>
      <c r="AR227" s="2075"/>
      <c r="AS227" s="2075"/>
      <c r="AT227" s="2075"/>
      <c r="AU227" s="2075"/>
      <c r="AV227" s="2076"/>
      <c r="AW227" s="2076"/>
      <c r="AX227" s="2076"/>
      <c r="AY227" s="2076"/>
      <c r="AZ227" s="2076"/>
      <c r="BA227" s="2076"/>
      <c r="BB227" s="2076"/>
      <c r="BC227" s="2076"/>
      <c r="BD227" s="2076"/>
      <c r="BE227" s="2076"/>
      <c r="BF227" s="2076"/>
      <c r="BG227" s="2076"/>
      <c r="BH227" s="2076"/>
      <c r="BI227" s="2076"/>
      <c r="BJ227" s="2076"/>
      <c r="BK227" s="2076"/>
      <c r="BL227" s="2076"/>
      <c r="BM227" s="2076"/>
      <c r="BN227" s="2076"/>
      <c r="BO227" s="2076"/>
      <c r="BP227" s="2076"/>
      <c r="BQ227" s="2076"/>
      <c r="BR227" s="2076"/>
      <c r="BS227" s="2076"/>
      <c r="BT227" s="2076"/>
      <c r="BU227" s="2076"/>
      <c r="BV227" s="2076"/>
      <c r="BW227" s="2076"/>
      <c r="BX227" s="2076"/>
      <c r="BY227" s="2076"/>
      <c r="BZ227" s="2076"/>
      <c r="CA227" s="2076"/>
      <c r="CB227" s="2076"/>
      <c r="CC227" s="2076"/>
      <c r="CD227" s="2076"/>
      <c r="CE227" s="2076"/>
      <c r="CF227" s="2076"/>
      <c r="CG227" s="2076"/>
      <c r="CH227" s="2076"/>
      <c r="CI227" s="2076"/>
      <c r="CJ227" s="2076"/>
      <c r="CK227" s="2076"/>
      <c r="CL227" s="2076"/>
      <c r="CM227" s="2076"/>
      <c r="CN227" s="2076"/>
      <c r="CO227" s="2076"/>
      <c r="CP227" s="2076"/>
      <c r="CQ227" s="2076"/>
      <c r="CR227" s="2076"/>
      <c r="CS227" s="2076"/>
      <c r="CT227" s="2076"/>
      <c r="CU227" s="2076"/>
      <c r="CV227" s="2076"/>
      <c r="CW227" s="2076"/>
      <c r="CX227" s="2076"/>
      <c r="CY227" s="2076"/>
      <c r="CZ227" s="2076"/>
      <c r="DA227" s="2076"/>
      <c r="DB227" s="2076"/>
      <c r="DC227" s="2076"/>
      <c r="DD227" s="2076"/>
      <c r="DE227" s="2076"/>
      <c r="DF227" s="2076"/>
      <c r="DG227" s="2076"/>
      <c r="DH227" s="2076"/>
      <c r="DI227" s="2076"/>
      <c r="DJ227" s="2076"/>
      <c r="DK227" s="2076"/>
      <c r="DL227" s="2076"/>
      <c r="DM227" s="2076"/>
      <c r="DN227" s="2076"/>
      <c r="DO227" s="2076"/>
      <c r="DP227" s="2076"/>
      <c r="DQ227" s="2076"/>
      <c r="DR227" s="2076"/>
      <c r="DS227" s="2076"/>
      <c r="DT227" s="2076"/>
      <c r="DU227" s="2076"/>
      <c r="DV227" s="2076"/>
      <c r="DW227" s="2076"/>
      <c r="DX227" s="2076"/>
      <c r="DY227" s="2076"/>
      <c r="DZ227" s="2076"/>
      <c r="EA227" s="2076"/>
      <c r="EB227" s="2076"/>
      <c r="EC227" s="2076"/>
      <c r="ED227" s="2076"/>
      <c r="EE227" s="2076"/>
      <c r="EF227" s="2076"/>
      <c r="EG227" s="2076"/>
      <c r="EH227" s="2076"/>
      <c r="EI227" s="2076"/>
      <c r="EJ227" s="2076"/>
      <c r="EK227" s="2076"/>
      <c r="EL227" s="2076"/>
      <c r="EM227" s="2076"/>
      <c r="EN227" s="2076"/>
      <c r="EO227" s="2076"/>
      <c r="EP227" s="2076"/>
      <c r="EQ227" s="2076"/>
      <c r="ER227" s="2076"/>
      <c r="ES227" s="2076"/>
      <c r="ET227" s="2076"/>
      <c r="EU227" s="2076"/>
      <c r="EV227" s="2076"/>
      <c r="EW227" s="2076"/>
      <c r="EX227" s="2076"/>
      <c r="EY227" s="2076"/>
      <c r="EZ227" s="2076"/>
      <c r="FA227" s="2076"/>
      <c r="FB227" s="2076"/>
      <c r="FC227" s="2076"/>
      <c r="FD227" s="2076"/>
      <c r="FE227" s="2076"/>
      <c r="FF227" s="2076"/>
      <c r="FG227" s="2076"/>
      <c r="FH227" s="2076"/>
      <c r="FI227" s="2076"/>
      <c r="FJ227" s="2076"/>
      <c r="FK227" s="2076"/>
      <c r="FL227" s="2076"/>
      <c r="FM227" s="2076"/>
      <c r="FN227" s="2076"/>
      <c r="FO227" s="2076"/>
      <c r="FP227" s="2076"/>
      <c r="FQ227" s="2076"/>
      <c r="FR227" s="2076"/>
      <c r="FS227" s="2076"/>
      <c r="FT227" s="2076"/>
      <c r="FU227" s="2076"/>
      <c r="FV227" s="2076"/>
      <c r="FW227" s="2076"/>
      <c r="FX227" s="2076"/>
      <c r="FY227" s="2076"/>
      <c r="FZ227" s="2076"/>
      <c r="GA227" s="2076"/>
      <c r="GB227" s="2076"/>
      <c r="GC227" s="2076"/>
      <c r="GD227" s="2076"/>
      <c r="GE227" s="2076"/>
      <c r="GF227" s="2076"/>
      <c r="GG227" s="2076"/>
      <c r="GH227" s="2076"/>
      <c r="GI227" s="2076"/>
      <c r="GJ227" s="2076"/>
      <c r="GK227" s="2076"/>
      <c r="GL227" s="2076"/>
      <c r="GM227" s="2076"/>
      <c r="GN227" s="2076"/>
      <c r="GO227" s="2076"/>
      <c r="GP227" s="2076"/>
      <c r="GQ227" s="2076"/>
      <c r="GR227" s="2076"/>
      <c r="GS227" s="2076"/>
      <c r="GT227" s="2076"/>
      <c r="GU227" s="2076"/>
      <c r="GV227" s="2076"/>
      <c r="GW227" s="2076"/>
      <c r="GX227" s="2076"/>
      <c r="GY227" s="2076"/>
      <c r="GZ227" s="2076"/>
      <c r="HA227" s="2076"/>
      <c r="HB227" s="2076"/>
      <c r="HC227" s="2076"/>
      <c r="HD227" s="2076"/>
      <c r="HE227" s="2076"/>
      <c r="HF227" s="2076"/>
      <c r="HG227" s="2076"/>
      <c r="HH227" s="2076"/>
      <c r="HI227" s="2076"/>
      <c r="HJ227" s="2076"/>
      <c r="HK227" s="2076"/>
      <c r="HL227" s="2076"/>
      <c r="HM227" s="2076"/>
      <c r="HN227" s="2076"/>
      <c r="HO227" s="2076"/>
      <c r="HP227" s="2076"/>
      <c r="HQ227" s="2076"/>
      <c r="HR227" s="2076"/>
      <c r="HS227" s="2076"/>
      <c r="HT227" s="2076"/>
      <c r="HU227" s="2076"/>
      <c r="HV227" s="2076"/>
      <c r="HW227" s="2076"/>
      <c r="HX227" s="2076"/>
      <c r="HY227" s="2076"/>
      <c r="HZ227" s="2076"/>
      <c r="IA227" s="2076"/>
      <c r="IB227" s="2076"/>
      <c r="IC227" s="2076"/>
      <c r="ID227" s="2076"/>
      <c r="IE227" s="2076"/>
      <c r="IF227" s="2076"/>
      <c r="IG227" s="2076"/>
      <c r="IH227" s="2076"/>
      <c r="II227" s="2076"/>
      <c r="IJ227" s="2076"/>
      <c r="IK227" s="2076"/>
      <c r="IL227" s="2076"/>
      <c r="IM227" s="2076"/>
      <c r="IN227" s="2076"/>
      <c r="IO227" s="2076"/>
      <c r="IP227" s="2076"/>
      <c r="IQ227" s="2076"/>
      <c r="IR227" s="2076"/>
      <c r="IS227" s="2076"/>
      <c r="IT227" s="2076"/>
      <c r="IU227" s="2076"/>
      <c r="IV227" s="2076"/>
      <c r="IW227" s="2076"/>
      <c r="IX227" s="2076"/>
      <c r="IY227" s="2076"/>
      <c r="IZ227" s="2076"/>
      <c r="JA227" s="2076"/>
      <c r="JB227" s="2076"/>
      <c r="JC227" s="2076"/>
      <c r="JD227" s="2076"/>
      <c r="JE227" s="2076"/>
      <c r="JF227" s="2076"/>
      <c r="JG227" s="2076"/>
      <c r="JH227" s="2076"/>
      <c r="JI227" s="2076"/>
      <c r="JJ227" s="2076"/>
      <c r="JK227" s="2076"/>
      <c r="JL227" s="2076"/>
      <c r="JM227" s="2076"/>
      <c r="JN227" s="2076"/>
      <c r="JO227" s="2076"/>
      <c r="JP227" s="2076"/>
      <c r="JQ227" s="2076"/>
      <c r="JR227" s="2076"/>
      <c r="JS227" s="2076"/>
      <c r="JT227" s="2076"/>
      <c r="JU227" s="2076"/>
      <c r="JV227" s="2076"/>
      <c r="JW227" s="2076"/>
      <c r="JX227" s="2076"/>
      <c r="JY227" s="2076"/>
      <c r="JZ227" s="2076"/>
      <c r="KA227" s="2076"/>
      <c r="KB227" s="2076"/>
      <c r="KC227" s="2076"/>
      <c r="KD227" s="2076"/>
      <c r="KE227" s="2076"/>
      <c r="KF227" s="2076"/>
      <c r="KG227" s="2076"/>
      <c r="KH227" s="2076"/>
      <c r="KI227" s="2076"/>
      <c r="KJ227" s="2076"/>
      <c r="KK227" s="2076"/>
      <c r="KL227" s="2076"/>
      <c r="KM227" s="2076"/>
      <c r="KN227" s="2076"/>
      <c r="KO227" s="2076"/>
      <c r="KP227" s="2076"/>
      <c r="KQ227" s="2076"/>
      <c r="KR227" s="2076"/>
      <c r="KS227" s="2076"/>
      <c r="KT227" s="2076"/>
      <c r="KU227" s="2076"/>
      <c r="KV227" s="2076"/>
      <c r="KW227" s="2076"/>
      <c r="KX227" s="2076"/>
      <c r="KY227" s="2076"/>
      <c r="KZ227" s="2076"/>
      <c r="LA227" s="2076"/>
      <c r="LB227" s="2076"/>
      <c r="LC227" s="2076"/>
      <c r="LD227" s="2076"/>
      <c r="LE227" s="2076"/>
      <c r="LF227" s="2076"/>
      <c r="LG227" s="2076"/>
      <c r="LH227" s="2076"/>
      <c r="LI227" s="2076"/>
      <c r="LJ227" s="2076"/>
      <c r="LK227" s="2076"/>
      <c r="LL227" s="2076"/>
      <c r="LM227" s="2076"/>
      <c r="LN227" s="2076"/>
      <c r="LO227" s="2076"/>
      <c r="LP227" s="2076"/>
      <c r="LQ227" s="2076"/>
      <c r="LR227" s="2076"/>
      <c r="LS227" s="2076"/>
      <c r="LT227" s="2076"/>
      <c r="LU227" s="2076"/>
      <c r="LV227" s="2076"/>
      <c r="LW227" s="2076"/>
      <c r="LX227" s="2076"/>
      <c r="LY227" s="2076"/>
      <c r="LZ227" s="2076"/>
      <c r="MA227" s="2076"/>
      <c r="MB227" s="2076"/>
      <c r="MC227" s="2076"/>
      <c r="MD227" s="2076"/>
      <c r="ME227" s="2076"/>
      <c r="MF227" s="2076"/>
      <c r="MG227" s="2076"/>
      <c r="MH227" s="2076"/>
      <c r="MI227" s="2076"/>
      <c r="MJ227" s="2076"/>
      <c r="MK227" s="2076"/>
      <c r="ML227" s="2076"/>
      <c r="MM227" s="2076"/>
      <c r="MN227" s="2076"/>
      <c r="MO227" s="2076"/>
      <c r="MP227" s="2076"/>
      <c r="MQ227" s="2076"/>
      <c r="MR227" s="2076"/>
      <c r="MS227" s="2076"/>
      <c r="MT227" s="2076"/>
      <c r="MU227" s="2076"/>
      <c r="MV227" s="2076"/>
      <c r="MW227" s="2076"/>
      <c r="MX227" s="2076"/>
      <c r="MY227" s="2076"/>
      <c r="MZ227" s="2076"/>
      <c r="NA227" s="2076"/>
      <c r="NB227" s="2076"/>
      <c r="NC227" s="2076"/>
      <c r="ND227" s="2076"/>
      <c r="NE227" s="2076"/>
      <c r="NF227" s="2076"/>
      <c r="NG227" s="2076"/>
      <c r="NH227" s="2076"/>
      <c r="NI227" s="2076"/>
      <c r="NJ227" s="2076"/>
      <c r="NK227" s="2076"/>
      <c r="NL227" s="2076"/>
      <c r="NM227" s="2076"/>
      <c r="NN227" s="2076"/>
      <c r="NO227" s="2076"/>
      <c r="NP227" s="2076"/>
      <c r="NQ227" s="2076"/>
      <c r="NR227" s="2076"/>
      <c r="NS227" s="2076"/>
      <c r="NT227" s="2076"/>
      <c r="NU227" s="2076"/>
      <c r="NV227" s="2076"/>
      <c r="NW227" s="2076"/>
      <c r="NX227" s="2076"/>
      <c r="NY227" s="2076"/>
      <c r="NZ227" s="2076"/>
      <c r="OA227" s="2076"/>
      <c r="OB227" s="2076"/>
      <c r="OC227" s="2076"/>
      <c r="OD227" s="2076"/>
      <c r="OE227" s="2076"/>
      <c r="OF227" s="2076"/>
      <c r="OG227" s="2076"/>
      <c r="OH227" s="2076"/>
      <c r="OI227" s="2076"/>
      <c r="OJ227" s="2076"/>
      <c r="OK227" s="2076"/>
      <c r="OL227" s="2076"/>
      <c r="OM227" s="2076"/>
      <c r="ON227" s="2076"/>
      <c r="OO227" s="2076"/>
      <c r="OP227" s="2076"/>
      <c r="OQ227" s="2076"/>
      <c r="OR227" s="2076"/>
      <c r="OS227" s="2076"/>
      <c r="OT227" s="2076"/>
      <c r="OU227" s="2076"/>
      <c r="OV227" s="2076"/>
      <c r="OW227" s="2076"/>
      <c r="OX227" s="2076"/>
      <c r="OY227" s="2076"/>
      <c r="OZ227" s="2076"/>
      <c r="PA227" s="2076"/>
      <c r="PB227" s="2076"/>
      <c r="PC227" s="2076"/>
      <c r="PD227" s="2076"/>
      <c r="PE227" s="2076"/>
      <c r="PF227" s="2076"/>
      <c r="PG227" s="2076"/>
      <c r="PH227" s="2076"/>
      <c r="PI227" s="2076"/>
      <c r="PJ227" s="2076"/>
      <c r="PK227" s="2076"/>
      <c r="PL227" s="2076"/>
      <c r="PM227" s="2076"/>
      <c r="PN227" s="2076"/>
      <c r="PO227" s="2076"/>
      <c r="PP227" s="2076"/>
      <c r="PQ227" s="2076"/>
      <c r="PR227" s="2076"/>
      <c r="PS227" s="2076"/>
      <c r="PT227" s="2076"/>
      <c r="PU227" s="2076"/>
      <c r="PV227" s="2076"/>
      <c r="PW227" s="2076"/>
      <c r="PX227" s="2076"/>
      <c r="PY227" s="2076"/>
      <c r="PZ227" s="2076"/>
      <c r="QA227" s="2076"/>
      <c r="QB227" s="2076"/>
      <c r="QC227" s="2076"/>
      <c r="QD227" s="2076"/>
      <c r="QE227" s="2076"/>
      <c r="QF227" s="2076"/>
      <c r="QG227" s="2076"/>
      <c r="QH227" s="2076"/>
      <c r="QI227" s="2076"/>
      <c r="QJ227" s="2076"/>
      <c r="QK227" s="2076"/>
      <c r="QL227" s="2076"/>
      <c r="QM227" s="2076"/>
      <c r="QN227" s="2076"/>
      <c r="QO227" s="2076"/>
      <c r="QP227" s="2076"/>
      <c r="QQ227" s="2076"/>
      <c r="QR227" s="2076"/>
      <c r="QS227" s="2076"/>
      <c r="QT227" s="2076"/>
      <c r="QU227" s="2076"/>
      <c r="QV227" s="2076"/>
      <c r="QW227" s="2076"/>
      <c r="QX227" s="2076"/>
      <c r="QY227" s="2076"/>
      <c r="QZ227" s="2076"/>
      <c r="RA227" s="2076"/>
      <c r="RB227" s="2076"/>
      <c r="RC227" s="2076"/>
      <c r="RD227" s="2076"/>
      <c r="RE227" s="2076"/>
      <c r="RF227" s="2076"/>
      <c r="RG227" s="2076"/>
      <c r="RH227" s="2076"/>
      <c r="RI227" s="2076"/>
      <c r="RJ227" s="2076"/>
      <c r="RK227" s="2076"/>
      <c r="RL227" s="2076"/>
      <c r="RM227" s="2076"/>
      <c r="RN227" s="2076"/>
      <c r="RO227" s="2076"/>
      <c r="RP227" s="2076"/>
      <c r="RQ227" s="2076"/>
      <c r="RR227" s="2076"/>
      <c r="RS227" s="2076"/>
      <c r="RT227" s="2076"/>
      <c r="RU227" s="2076"/>
      <c r="RV227" s="2076"/>
      <c r="RW227" s="2076"/>
      <c r="RX227" s="2076"/>
      <c r="RY227" s="2076"/>
      <c r="RZ227" s="2076"/>
      <c r="SA227" s="2076"/>
      <c r="SB227" s="2076"/>
      <c r="SC227" s="2076"/>
      <c r="SD227" s="2076"/>
      <c r="SE227" s="2076"/>
      <c r="SF227" s="2076"/>
      <c r="SG227" s="2076"/>
      <c r="SH227" s="2076"/>
      <c r="SI227" s="2076"/>
      <c r="SJ227" s="2076"/>
      <c r="SK227" s="2076"/>
      <c r="SL227" s="2076"/>
      <c r="SM227" s="2076"/>
      <c r="SN227" s="2076"/>
      <c r="SO227" s="2076"/>
      <c r="SP227" s="2076"/>
      <c r="SQ227" s="2076"/>
      <c r="SR227" s="2076"/>
      <c r="SS227" s="2076"/>
      <c r="ST227" s="2076"/>
      <c r="SU227" s="2076"/>
      <c r="SV227" s="2076"/>
      <c r="SW227" s="2076"/>
      <c r="SX227" s="2076"/>
      <c r="SY227" s="2076"/>
      <c r="SZ227" s="2076"/>
      <c r="TA227" s="2076"/>
      <c r="TB227" s="2076"/>
      <c r="TC227" s="2076"/>
      <c r="TD227" s="2076"/>
      <c r="TE227" s="2076"/>
      <c r="TF227" s="2076"/>
      <c r="TG227" s="2076"/>
      <c r="TH227" s="2076"/>
      <c r="TI227" s="2076"/>
      <c r="TJ227" s="2076"/>
      <c r="TK227" s="2076"/>
      <c r="TL227" s="2076"/>
      <c r="TM227" s="2076"/>
      <c r="TN227" s="2076"/>
      <c r="TO227" s="2076"/>
      <c r="TP227" s="2076"/>
      <c r="TQ227" s="2076"/>
      <c r="TR227" s="2076"/>
      <c r="TS227" s="2076"/>
      <c r="TT227" s="2076"/>
      <c r="TU227" s="2076"/>
      <c r="TV227" s="2076"/>
      <c r="TW227" s="2076"/>
      <c r="TX227" s="2076"/>
      <c r="TY227" s="2076"/>
      <c r="TZ227" s="2076"/>
      <c r="UA227" s="2076"/>
      <c r="UB227" s="2076"/>
      <c r="UC227" s="2076"/>
      <c r="UD227" s="2076"/>
      <c r="UE227" s="2076"/>
      <c r="UF227" s="2076"/>
      <c r="UG227" s="2076"/>
      <c r="UH227" s="2076"/>
      <c r="UI227" s="2076"/>
      <c r="UJ227" s="2076"/>
      <c r="UK227" s="2076"/>
      <c r="UL227" s="2076"/>
      <c r="UM227" s="2076"/>
      <c r="UN227" s="2076"/>
      <c r="UO227" s="2076"/>
      <c r="UP227" s="2076"/>
      <c r="UQ227" s="2076"/>
      <c r="UR227" s="2076"/>
      <c r="US227" s="2076"/>
      <c r="UT227" s="2076"/>
      <c r="UU227" s="2076"/>
      <c r="UV227" s="2076"/>
      <c r="UW227" s="2076"/>
      <c r="UX227" s="2076"/>
      <c r="UY227" s="2076"/>
      <c r="UZ227" s="2076"/>
      <c r="VA227" s="2076"/>
      <c r="VB227" s="2076"/>
      <c r="VC227" s="2076"/>
      <c r="VD227" s="2076"/>
      <c r="VE227" s="2076"/>
      <c r="VF227" s="2076"/>
      <c r="VG227" s="2076"/>
      <c r="VH227" s="2076"/>
      <c r="VI227" s="2076"/>
      <c r="VJ227" s="2076"/>
      <c r="VK227" s="2076"/>
      <c r="VL227" s="2076"/>
      <c r="VM227" s="2076"/>
      <c r="VN227" s="2076"/>
      <c r="VO227" s="2076"/>
      <c r="VP227" s="2076"/>
      <c r="VQ227" s="2076"/>
      <c r="VR227" s="2076"/>
      <c r="VS227" s="2076"/>
      <c r="VT227" s="2076"/>
      <c r="VU227" s="2076"/>
      <c r="VV227" s="2076"/>
      <c r="VW227" s="2076"/>
      <c r="VX227" s="2076"/>
      <c r="VY227" s="2076"/>
      <c r="VZ227" s="2076"/>
      <c r="WA227" s="2076"/>
      <c r="WB227" s="2076"/>
      <c r="WC227" s="2076"/>
      <c r="WD227" s="2076"/>
      <c r="WE227" s="2076"/>
      <c r="WF227" s="2076"/>
      <c r="WG227" s="2076"/>
      <c r="WH227" s="2076"/>
      <c r="WI227" s="2076"/>
      <c r="WJ227" s="2076"/>
      <c r="WK227" s="2076"/>
      <c r="WL227" s="2076"/>
      <c r="WM227" s="2076"/>
      <c r="WN227" s="2076"/>
      <c r="WO227" s="2076"/>
      <c r="WP227" s="2076"/>
      <c r="WQ227" s="2076"/>
      <c r="WR227" s="2076"/>
      <c r="WS227" s="2076"/>
      <c r="WT227" s="2076"/>
      <c r="WU227" s="2076"/>
      <c r="WV227" s="2076"/>
      <c r="WW227" s="2076"/>
      <c r="WX227" s="2076"/>
      <c r="WY227" s="2076"/>
      <c r="WZ227" s="2076"/>
      <c r="XA227" s="2076"/>
      <c r="XB227" s="2076"/>
      <c r="XC227" s="2076"/>
      <c r="XD227" s="2076"/>
      <c r="XE227" s="2076"/>
      <c r="XF227" s="2076"/>
      <c r="XG227" s="2076"/>
      <c r="XH227" s="2076"/>
      <c r="XI227" s="2076"/>
      <c r="XJ227" s="2076"/>
      <c r="XK227" s="2076"/>
      <c r="XL227" s="2076"/>
      <c r="XM227" s="2076"/>
      <c r="XN227" s="2076"/>
      <c r="XO227" s="2076"/>
      <c r="XP227" s="2076"/>
      <c r="XQ227" s="2076"/>
      <c r="XR227" s="2076"/>
      <c r="XS227" s="2076"/>
      <c r="XT227" s="2076"/>
      <c r="XU227" s="2076"/>
      <c r="XV227" s="2076"/>
      <c r="XW227" s="2076"/>
      <c r="XX227" s="2076"/>
      <c r="XY227" s="2076"/>
      <c r="XZ227" s="2076"/>
      <c r="YA227" s="2076"/>
      <c r="YB227" s="2076"/>
      <c r="YC227" s="2076"/>
      <c r="YD227" s="2076"/>
      <c r="YE227" s="2076"/>
      <c r="YF227" s="2076"/>
      <c r="YG227" s="2076"/>
      <c r="YH227" s="2076"/>
      <c r="YI227" s="2076"/>
      <c r="YJ227" s="2076"/>
      <c r="YK227" s="2076"/>
      <c r="YL227" s="2076"/>
      <c r="YM227" s="2076"/>
      <c r="YN227" s="2076"/>
      <c r="YO227" s="2076"/>
      <c r="YP227" s="2076"/>
      <c r="YQ227" s="2076"/>
      <c r="YR227" s="2076"/>
      <c r="YS227" s="2076"/>
      <c r="YT227" s="2076"/>
      <c r="YU227" s="2076"/>
      <c r="YV227" s="2076"/>
      <c r="YW227" s="2076"/>
      <c r="YX227" s="2076"/>
      <c r="YY227" s="2076"/>
      <c r="YZ227" s="2076"/>
      <c r="ZA227" s="2076"/>
      <c r="ZB227" s="2076"/>
      <c r="ZC227" s="2076"/>
      <c r="ZD227" s="2076"/>
      <c r="ZE227" s="2076"/>
      <c r="ZF227" s="2076"/>
      <c r="ZG227" s="2076"/>
      <c r="ZH227" s="2076"/>
      <c r="ZI227" s="2076"/>
      <c r="ZJ227" s="2076"/>
      <c r="ZK227" s="2076"/>
      <c r="ZL227" s="2076"/>
      <c r="ZM227" s="2076"/>
      <c r="ZN227" s="2076"/>
      <c r="ZO227" s="2076"/>
      <c r="ZP227" s="2076"/>
      <c r="ZQ227" s="2076"/>
      <c r="ZR227" s="2076"/>
      <c r="ZS227" s="2076"/>
      <c r="ZT227" s="2076"/>
      <c r="ZU227" s="2076"/>
      <c r="ZV227" s="2076"/>
      <c r="ZW227" s="2076"/>
      <c r="ZX227" s="2076"/>
      <c r="ZY227" s="2076"/>
      <c r="ZZ227" s="2076"/>
      <c r="AAA227" s="2076"/>
      <c r="AAB227" s="2076"/>
      <c r="AAC227" s="2076"/>
      <c r="AAD227" s="2076"/>
      <c r="AAE227" s="2076"/>
      <c r="AAF227" s="2076"/>
      <c r="AAG227" s="2076"/>
      <c r="AAH227" s="2076"/>
      <c r="AAI227" s="2076"/>
      <c r="AAJ227" s="2076"/>
      <c r="AAK227" s="2076"/>
      <c r="AAL227" s="2076"/>
      <c r="AAM227" s="2076"/>
      <c r="AAN227" s="2076"/>
      <c r="AAO227" s="2076"/>
      <c r="AAP227" s="2076"/>
      <c r="AAQ227" s="2076"/>
      <c r="AAR227" s="2076"/>
      <c r="AAS227" s="2076"/>
      <c r="AAT227" s="2076"/>
      <c r="AAU227" s="2076"/>
      <c r="AAV227" s="2076"/>
      <c r="AAW227" s="2076"/>
      <c r="AAX227" s="2076"/>
      <c r="AAY227" s="2076"/>
      <c r="AAZ227" s="2076"/>
      <c r="ABA227" s="2076"/>
      <c r="ABB227" s="2076"/>
      <c r="ABC227" s="2076"/>
      <c r="ABD227" s="2076"/>
      <c r="ABE227" s="2076"/>
      <c r="ABF227" s="2076"/>
      <c r="ABG227" s="2076"/>
      <c r="ABH227" s="2076"/>
      <c r="ABI227" s="2076"/>
      <c r="ABJ227" s="2076"/>
      <c r="ABK227" s="2076"/>
      <c r="ABL227" s="2076"/>
      <c r="ABM227" s="2076"/>
      <c r="ABN227" s="2076"/>
      <c r="ABO227" s="2076"/>
      <c r="ABP227" s="2076"/>
      <c r="ABQ227" s="2076"/>
      <c r="ABR227" s="2076"/>
      <c r="ABS227" s="2076"/>
      <c r="ABT227" s="2076"/>
      <c r="ABU227" s="2076"/>
      <c r="ABV227" s="2076"/>
      <c r="ABW227" s="2076"/>
      <c r="ABX227" s="2076"/>
      <c r="ABY227" s="2076"/>
      <c r="ABZ227" s="2076"/>
      <c r="ACA227" s="2076"/>
      <c r="ACB227" s="2076"/>
      <c r="ACC227" s="2076"/>
      <c r="ACD227" s="2076"/>
      <c r="ACE227" s="2076"/>
      <c r="ACF227" s="2076"/>
      <c r="ACG227" s="2076"/>
      <c r="ACH227" s="2076"/>
      <c r="ACI227" s="2076"/>
      <c r="ACJ227" s="2076"/>
      <c r="ACK227" s="2076"/>
      <c r="ACL227" s="2076"/>
      <c r="ACM227" s="2076"/>
      <c r="ACN227" s="2076"/>
      <c r="ACO227" s="2076"/>
      <c r="ACP227" s="2076"/>
      <c r="ACQ227" s="2076"/>
      <c r="ACR227" s="2076"/>
      <c r="ACS227" s="2076"/>
      <c r="ACT227" s="2076"/>
      <c r="ACU227" s="2076"/>
      <c r="ACV227" s="2076"/>
      <c r="ACW227" s="2076"/>
      <c r="ACX227" s="2076"/>
      <c r="ACY227" s="2076"/>
      <c r="ACZ227" s="2076"/>
      <c r="ADA227" s="2076"/>
      <c r="ADB227" s="2076"/>
      <c r="ADC227" s="2076"/>
      <c r="ADD227" s="2076"/>
      <c r="ADE227" s="2076"/>
      <c r="ADF227" s="2076"/>
      <c r="ADG227" s="2076"/>
      <c r="ADH227" s="2076"/>
      <c r="ADI227" s="2076"/>
      <c r="ADJ227" s="2076"/>
      <c r="ADK227" s="2076"/>
      <c r="ADL227" s="2076"/>
      <c r="ADM227" s="2076"/>
      <c r="ADN227" s="2076"/>
      <c r="ADO227" s="2076"/>
      <c r="ADP227" s="2076"/>
      <c r="ADQ227" s="2076"/>
      <c r="ADR227" s="2076"/>
      <c r="ADS227" s="2076"/>
      <c r="ADT227" s="2076"/>
      <c r="ADU227" s="2076"/>
      <c r="ADV227" s="2076"/>
      <c r="ADW227" s="2076"/>
      <c r="ADX227" s="2076"/>
      <c r="ADY227" s="2076"/>
      <c r="ADZ227" s="2076"/>
      <c r="AEA227" s="2076"/>
      <c r="AEB227" s="2076"/>
      <c r="AEC227" s="2076"/>
      <c r="AED227" s="2076"/>
      <c r="AEE227" s="2076"/>
      <c r="AEF227" s="2076"/>
      <c r="AEG227" s="2076"/>
      <c r="AEH227" s="2076"/>
      <c r="AEI227" s="2076"/>
      <c r="AEJ227" s="2076"/>
      <c r="AEK227" s="2076"/>
      <c r="AEL227" s="2076"/>
      <c r="AEM227" s="2076"/>
      <c r="AEN227" s="2076"/>
      <c r="AEO227" s="2076"/>
      <c r="AEP227" s="2076"/>
      <c r="AEQ227" s="2076"/>
      <c r="AER227" s="2076"/>
      <c r="AES227" s="2076"/>
      <c r="AET227" s="2076"/>
      <c r="AEU227" s="2076"/>
      <c r="AEV227" s="2076"/>
      <c r="AEW227" s="2076"/>
      <c r="AEX227" s="2076"/>
      <c r="AEY227" s="2076"/>
      <c r="AEZ227" s="2076"/>
      <c r="AFA227" s="2076"/>
      <c r="AFB227" s="2076"/>
      <c r="AFC227" s="2076"/>
      <c r="AFD227" s="2076"/>
      <c r="AFE227" s="2076"/>
      <c r="AFF227" s="2076"/>
      <c r="AFG227" s="2076"/>
      <c r="AFH227" s="2076"/>
      <c r="AFI227" s="2076"/>
      <c r="AFJ227" s="2076"/>
      <c r="AFK227" s="2076"/>
      <c r="AFL227" s="2076"/>
      <c r="AFM227" s="2076"/>
      <c r="AFN227" s="2076"/>
      <c r="AFO227" s="2076"/>
      <c r="AFP227" s="2076"/>
      <c r="AFQ227" s="2076"/>
      <c r="AFR227" s="2076"/>
      <c r="AFS227" s="2076"/>
      <c r="AFT227" s="2076"/>
      <c r="AFU227" s="2076"/>
      <c r="AFV227" s="2076"/>
      <c r="AFW227" s="2076"/>
      <c r="AFX227" s="2076"/>
      <c r="AFY227" s="2076"/>
      <c r="AFZ227" s="2076"/>
      <c r="AGA227" s="2076"/>
      <c r="AGB227" s="2076"/>
      <c r="AGC227" s="2076"/>
      <c r="AGD227" s="2076"/>
      <c r="AGE227" s="2076"/>
      <c r="AGF227" s="2076"/>
      <c r="AGG227" s="2076"/>
      <c r="AGH227" s="2076"/>
      <c r="AGI227" s="2076"/>
      <c r="AGJ227" s="2076"/>
      <c r="AGK227" s="2076"/>
      <c r="AGL227" s="2076"/>
      <c r="AGM227" s="2076"/>
      <c r="AGN227" s="2076"/>
      <c r="AGO227" s="2076"/>
      <c r="AGP227" s="2076"/>
      <c r="AGQ227" s="2076"/>
      <c r="AGR227" s="2076"/>
      <c r="AGS227" s="2076"/>
      <c r="AGT227" s="2076"/>
      <c r="AGU227" s="2076"/>
      <c r="AGV227" s="2076"/>
      <c r="AGW227" s="2076"/>
      <c r="AGX227" s="2076"/>
      <c r="AGY227" s="2076"/>
      <c r="AGZ227" s="2076"/>
      <c r="AHA227" s="2076"/>
      <c r="AHB227" s="2076"/>
      <c r="AHC227" s="2076"/>
      <c r="AHD227" s="2076"/>
      <c r="AHE227" s="2076"/>
      <c r="AHF227" s="2076"/>
      <c r="AHG227" s="2076"/>
      <c r="AHH227" s="2076"/>
      <c r="AHI227" s="2076"/>
      <c r="AHJ227" s="2076"/>
      <c r="AHK227" s="2076"/>
      <c r="AHL227" s="2076"/>
      <c r="AHM227" s="2076"/>
      <c r="AHN227" s="2076"/>
      <c r="AHO227" s="2076"/>
      <c r="AHP227" s="2076"/>
      <c r="AHQ227" s="2076"/>
      <c r="AHR227" s="2076"/>
      <c r="AHS227" s="2076"/>
      <c r="AHT227" s="2076"/>
      <c r="AHU227" s="2076"/>
      <c r="AHV227" s="2076"/>
      <c r="AHW227" s="2076"/>
      <c r="AHX227" s="2076"/>
      <c r="AHY227" s="2076"/>
      <c r="AHZ227" s="2076"/>
      <c r="AIA227" s="2076"/>
      <c r="AIB227" s="2076"/>
      <c r="AIC227" s="2076"/>
      <c r="AID227" s="2076"/>
      <c r="AIE227" s="2076"/>
      <c r="AIF227" s="2076"/>
      <c r="AIG227" s="2076"/>
      <c r="AIH227" s="2076"/>
      <c r="AII227" s="2076"/>
      <c r="AIJ227" s="2076"/>
      <c r="AIK227" s="2076"/>
      <c r="AIL227" s="2076"/>
      <c r="AIM227" s="2076"/>
      <c r="AIN227" s="2076"/>
      <c r="AIO227" s="2076"/>
      <c r="AIP227" s="2076"/>
      <c r="AIQ227" s="2076"/>
      <c r="AIR227" s="2076"/>
      <c r="AIS227" s="2076"/>
      <c r="AIT227" s="2076"/>
      <c r="AIU227" s="2076"/>
      <c r="AIV227" s="2076"/>
      <c r="AIW227" s="2076"/>
      <c r="AIX227" s="2076"/>
      <c r="AIY227" s="2076"/>
      <c r="AIZ227" s="2076"/>
      <c r="AJA227" s="2076"/>
      <c r="AJB227" s="2076"/>
      <c r="AJC227" s="2076"/>
      <c r="AJD227" s="2076"/>
      <c r="AJE227" s="2076"/>
      <c r="AJF227" s="2076"/>
      <c r="AJG227" s="2076"/>
      <c r="AJH227" s="2076"/>
      <c r="AJI227" s="2076"/>
      <c r="AJJ227" s="2076"/>
      <c r="AJK227" s="2076"/>
      <c r="AJL227" s="2076"/>
      <c r="AJM227" s="2076"/>
      <c r="AJN227" s="2076"/>
      <c r="AJO227" s="2076"/>
      <c r="AJP227" s="2076"/>
      <c r="AJQ227" s="2076"/>
      <c r="AJR227" s="2076"/>
      <c r="AJS227" s="2076"/>
      <c r="AJT227" s="2076"/>
      <c r="AJU227" s="2076"/>
      <c r="AJV227" s="2076"/>
      <c r="AJW227" s="2076"/>
      <c r="AJX227" s="2076"/>
      <c r="AJY227" s="2076"/>
      <c r="AJZ227" s="2076"/>
      <c r="AKA227" s="2076"/>
      <c r="AKB227" s="2076"/>
      <c r="AKC227" s="2076"/>
      <c r="AKD227" s="2076"/>
      <c r="AKE227" s="2076"/>
      <c r="AKF227" s="2076"/>
      <c r="AKG227" s="2076"/>
      <c r="AKH227" s="2076"/>
      <c r="AKI227" s="2076"/>
      <c r="AKJ227" s="2076"/>
      <c r="AKK227" s="2076"/>
      <c r="AKL227" s="2076"/>
      <c r="AKM227" s="2076"/>
      <c r="AKN227" s="2076"/>
      <c r="AKO227" s="2076"/>
      <c r="AKP227" s="2076"/>
      <c r="AKQ227" s="2076"/>
      <c r="AKR227" s="2076"/>
      <c r="AKS227" s="2076"/>
      <c r="AKT227" s="2076"/>
      <c r="AKU227" s="2076"/>
      <c r="AKV227" s="2076"/>
      <c r="AKW227" s="2076"/>
      <c r="AKX227" s="2076"/>
      <c r="AKY227" s="2076"/>
      <c r="AKZ227" s="2076"/>
      <c r="ALA227" s="2076"/>
      <c r="ALB227" s="2076"/>
      <c r="ALC227" s="2076"/>
      <c r="ALD227" s="2076"/>
      <c r="ALE227" s="2076"/>
      <c r="ALF227" s="2076"/>
      <c r="ALG227" s="2076"/>
      <c r="ALH227" s="2076"/>
      <c r="ALI227" s="2076"/>
      <c r="ALJ227" s="2076"/>
      <c r="ALK227" s="2076"/>
      <c r="ALL227" s="2076"/>
      <c r="ALM227" s="2076"/>
      <c r="ALN227" s="2076"/>
      <c r="ALO227" s="2076"/>
      <c r="ALP227" s="2076"/>
      <c r="ALQ227" s="2076"/>
      <c r="ALR227" s="2076"/>
      <c r="ALS227" s="2076"/>
      <c r="ALT227" s="2076"/>
      <c r="ALU227" s="2076"/>
      <c r="ALV227" s="2076"/>
      <c r="ALW227" s="2076"/>
      <c r="ALX227" s="2076"/>
      <c r="ALY227" s="2076"/>
      <c r="ALZ227" s="2076"/>
      <c r="AMA227" s="2076"/>
      <c r="AMB227" s="2076"/>
      <c r="AMC227" s="2076"/>
      <c r="AMD227" s="2076"/>
      <c r="AME227" s="2076"/>
      <c r="AMF227" s="2076"/>
      <c r="AMG227" s="2076"/>
      <c r="AMH227" s="2076"/>
      <c r="AMI227" s="2076"/>
      <c r="AMJ227" s="2076"/>
      <c r="AMK227" s="2076"/>
      <c r="AML227" s="2076"/>
      <c r="AMM227" s="2076"/>
      <c r="AMN227" s="2076"/>
      <c r="AMO227" s="2076"/>
      <c r="AMP227" s="2076"/>
      <c r="AMQ227" s="2076"/>
      <c r="AMR227" s="2076"/>
      <c r="AMS227" s="2076"/>
      <c r="AMT227" s="2076"/>
      <c r="AMU227" s="2076"/>
      <c r="AMV227" s="2076"/>
      <c r="AMW227" s="2076"/>
      <c r="AMX227" s="2076"/>
      <c r="AMY227" s="2076"/>
      <c r="AMZ227" s="2076"/>
      <c r="ANA227" s="2076"/>
      <c r="ANB227" s="2076"/>
      <c r="ANC227" s="2076"/>
      <c r="AND227" s="2076"/>
      <c r="ANE227" s="2076"/>
      <c r="ANF227" s="2076"/>
      <c r="ANG227" s="2076"/>
      <c r="ANH227" s="2076"/>
      <c r="ANI227" s="2076"/>
      <c r="ANJ227" s="2076"/>
      <c r="ANK227" s="2076"/>
      <c r="ANL227" s="2076"/>
      <c r="ANM227" s="2076"/>
      <c r="ANN227" s="2076"/>
      <c r="ANO227" s="2076"/>
      <c r="ANP227" s="2076"/>
      <c r="ANQ227" s="2076"/>
      <c r="ANR227" s="2076"/>
      <c r="ANS227" s="2076"/>
      <c r="ANT227" s="2076"/>
      <c r="ANU227" s="2076"/>
      <c r="ANV227" s="2076"/>
      <c r="ANW227" s="2076"/>
      <c r="ANX227" s="2076"/>
      <c r="ANY227" s="2076"/>
      <c r="ANZ227" s="2076"/>
      <c r="AOA227" s="2076"/>
      <c r="AOB227" s="2076"/>
      <c r="AOC227" s="2076"/>
      <c r="AOD227" s="2076"/>
      <c r="AOE227" s="2076"/>
      <c r="AOF227" s="2076"/>
      <c r="AOG227" s="2076"/>
      <c r="AOH227" s="2076"/>
      <c r="AOI227" s="2076"/>
      <c r="AOJ227" s="2076"/>
      <c r="AOK227" s="2076"/>
      <c r="AOL227" s="2076"/>
      <c r="AOM227" s="2076"/>
      <c r="AON227" s="2076"/>
      <c r="AOO227" s="2076"/>
      <c r="AOP227" s="2076"/>
      <c r="AOQ227" s="2076"/>
      <c r="AOR227" s="2076"/>
      <c r="AOS227" s="2076"/>
      <c r="AOT227" s="2076"/>
      <c r="AOU227" s="2076"/>
      <c r="AOV227" s="2076"/>
      <c r="AOW227" s="2076"/>
      <c r="AOX227" s="2076"/>
      <c r="AOY227" s="2076"/>
      <c r="AOZ227" s="2076"/>
      <c r="APA227" s="2076"/>
      <c r="APB227" s="2076"/>
      <c r="APC227" s="2076"/>
      <c r="APD227" s="2076"/>
      <c r="APE227" s="2076"/>
      <c r="APF227" s="2076"/>
      <c r="APG227" s="2076"/>
      <c r="APH227" s="2076"/>
      <c r="API227" s="2076"/>
      <c r="APJ227" s="2076"/>
      <c r="APK227" s="2076"/>
      <c r="APL227" s="2076"/>
      <c r="APM227" s="2076"/>
      <c r="APN227" s="2076"/>
      <c r="APO227" s="2076"/>
      <c r="APP227" s="2076"/>
      <c r="APQ227" s="2076"/>
      <c r="APR227" s="2076"/>
      <c r="APS227" s="2076"/>
      <c r="APT227" s="2076"/>
      <c r="APU227" s="2076"/>
      <c r="APV227" s="2076"/>
      <c r="APW227" s="2076"/>
      <c r="APX227" s="2076"/>
      <c r="APY227" s="2076"/>
      <c r="APZ227" s="2076"/>
      <c r="AQA227" s="2076"/>
      <c r="AQB227" s="2076"/>
      <c r="AQC227" s="2076"/>
      <c r="AQD227" s="2076"/>
      <c r="AQE227" s="2076"/>
      <c r="AQF227" s="2076"/>
      <c r="AQG227" s="2076"/>
      <c r="AQH227" s="2076"/>
      <c r="AQI227" s="2076"/>
      <c r="AQJ227" s="2076"/>
      <c r="AQK227" s="2076"/>
      <c r="AQL227" s="2076"/>
      <c r="AQM227" s="2076"/>
      <c r="AQN227" s="2076"/>
      <c r="AQO227" s="2076"/>
      <c r="AQP227" s="2076"/>
      <c r="AQQ227" s="2076"/>
      <c r="AQR227" s="2076"/>
      <c r="AQS227" s="2076"/>
      <c r="AQT227" s="2076"/>
      <c r="AQU227" s="2076"/>
      <c r="AQV227" s="2076"/>
      <c r="AQW227" s="2076"/>
      <c r="AQX227" s="2076"/>
      <c r="AQY227" s="2076"/>
      <c r="AQZ227" s="2076"/>
      <c r="ARA227" s="2076"/>
      <c r="ARB227" s="2076"/>
      <c r="ARC227" s="2076"/>
      <c r="ARD227" s="2076"/>
      <c r="ARE227" s="2076"/>
      <c r="ARF227" s="2076"/>
      <c r="ARG227" s="2076"/>
      <c r="ARH227" s="2076"/>
      <c r="ARI227" s="2076"/>
      <c r="ARJ227" s="2076"/>
      <c r="ARK227" s="2076"/>
      <c r="ARL227" s="2076"/>
      <c r="ARM227" s="2076"/>
      <c r="ARN227" s="2076"/>
      <c r="ARO227" s="2076"/>
      <c r="ARP227" s="2076"/>
      <c r="ARQ227" s="2076"/>
      <c r="ARR227" s="2076"/>
      <c r="ARS227" s="2076"/>
      <c r="ART227" s="2076"/>
      <c r="ARU227" s="2076"/>
      <c r="ARV227" s="2076"/>
      <c r="ARW227" s="2076"/>
      <c r="ARX227" s="2076"/>
      <c r="ARY227" s="2076"/>
      <c r="ARZ227" s="2076"/>
      <c r="ASA227" s="2076"/>
      <c r="ASB227" s="2076"/>
      <c r="ASC227" s="2076"/>
      <c r="ASD227" s="2076"/>
      <c r="ASE227" s="2076"/>
      <c r="ASF227" s="2076"/>
      <c r="ASG227" s="2076"/>
      <c r="ASH227" s="2076"/>
      <c r="ASI227" s="2076"/>
      <c r="ASJ227" s="2076"/>
      <c r="ASK227" s="2076"/>
      <c r="ASL227" s="2076"/>
      <c r="ASM227" s="2076"/>
      <c r="ASN227" s="2076"/>
      <c r="ASO227" s="2076"/>
      <c r="ASP227" s="2076"/>
      <c r="ASQ227" s="2076"/>
      <c r="ASR227" s="2076"/>
      <c r="ASS227" s="2076"/>
      <c r="AST227" s="2076"/>
      <c r="ASU227" s="2076"/>
      <c r="ASV227" s="2076"/>
      <c r="ASW227" s="2076"/>
      <c r="ASX227" s="2076"/>
      <c r="ASY227" s="2076"/>
      <c r="ASZ227" s="2076"/>
      <c r="ATA227" s="2076"/>
      <c r="ATB227" s="2076"/>
      <c r="ATC227" s="2076"/>
      <c r="ATD227" s="2076"/>
      <c r="ATE227" s="2076"/>
      <c r="ATF227" s="2076"/>
      <c r="ATG227" s="2076"/>
      <c r="ATH227" s="2076"/>
      <c r="ATI227" s="2076"/>
      <c r="ATJ227" s="2076"/>
      <c r="ATK227" s="2076"/>
      <c r="ATL227" s="2076"/>
      <c r="ATM227" s="2076"/>
      <c r="ATN227" s="2076"/>
      <c r="ATO227" s="2076"/>
      <c r="ATP227" s="2076"/>
      <c r="ATQ227" s="2076"/>
      <c r="ATR227" s="2076"/>
      <c r="ATS227" s="2076"/>
      <c r="ATT227" s="2076"/>
      <c r="ATU227" s="2076"/>
      <c r="ATV227" s="2076"/>
      <c r="ATW227" s="2076"/>
      <c r="ATX227" s="2076"/>
      <c r="ATY227" s="2076"/>
      <c r="ATZ227" s="2076"/>
      <c r="AUA227" s="2076"/>
      <c r="AUB227" s="2076"/>
      <c r="AUC227" s="2076"/>
      <c r="AUD227" s="2076"/>
      <c r="AUE227" s="2076"/>
      <c r="AUF227" s="2076"/>
      <c r="AUG227" s="2076"/>
      <c r="AUH227" s="2076"/>
      <c r="AUI227" s="2076"/>
      <c r="AUJ227" s="2076"/>
      <c r="AUK227" s="2076"/>
      <c r="AUL227" s="2076"/>
      <c r="AUM227" s="2076"/>
      <c r="AUN227" s="2076"/>
      <c r="AUO227" s="2076"/>
      <c r="AUP227" s="2076"/>
      <c r="AUQ227" s="2076"/>
      <c r="AUR227" s="2076"/>
      <c r="AUS227" s="2076"/>
      <c r="AUT227" s="2076"/>
      <c r="AUU227" s="2076"/>
      <c r="AUV227" s="2076"/>
      <c r="AUW227" s="2076"/>
      <c r="AUX227" s="2076"/>
      <c r="AUY227" s="2076"/>
      <c r="AUZ227" s="2076"/>
      <c r="AVA227" s="2076"/>
      <c r="AVB227" s="2076"/>
      <c r="AVC227" s="2076"/>
      <c r="AVD227" s="2076"/>
      <c r="AVE227" s="2076"/>
      <c r="AVF227" s="2076"/>
      <c r="AVG227" s="2076"/>
      <c r="AVH227" s="2076"/>
      <c r="AVI227" s="2076"/>
      <c r="AVJ227" s="2076"/>
      <c r="AVK227" s="2076"/>
      <c r="AVL227" s="2076"/>
      <c r="AVM227" s="2076"/>
      <c r="AVN227" s="2076"/>
      <c r="AVO227" s="2076"/>
      <c r="AVP227" s="2076"/>
      <c r="AVQ227" s="2076"/>
      <c r="AVR227" s="2076"/>
      <c r="AVS227" s="2076"/>
      <c r="AVT227" s="2076"/>
      <c r="AVU227" s="2076"/>
      <c r="AVV227" s="2076"/>
      <c r="AVW227" s="2076"/>
      <c r="AVX227" s="2076"/>
      <c r="AVY227" s="2076"/>
      <c r="AVZ227" s="2076"/>
      <c r="AWA227" s="2076"/>
      <c r="AWB227" s="2076"/>
      <c r="AWC227" s="2076"/>
      <c r="AWD227" s="2076"/>
      <c r="AWE227" s="2076"/>
      <c r="AWF227" s="2076"/>
      <c r="AWG227" s="2076"/>
      <c r="AWH227" s="2076"/>
      <c r="AWI227" s="2076"/>
      <c r="AWJ227" s="2076"/>
      <c r="AWK227" s="2076"/>
      <c r="AWL227" s="2076"/>
      <c r="AWM227" s="2076"/>
      <c r="AWN227" s="2076"/>
      <c r="AWO227" s="2076"/>
      <c r="AWP227" s="2076"/>
      <c r="AWQ227" s="2076"/>
      <c r="AWR227" s="2076"/>
      <c r="AWS227" s="2076"/>
      <c r="AWT227" s="2076"/>
      <c r="AWU227" s="2076"/>
      <c r="AWV227" s="2076"/>
      <c r="AWW227" s="2076"/>
      <c r="AWX227" s="2076"/>
      <c r="AWY227" s="2076"/>
      <c r="AWZ227" s="2076"/>
      <c r="AXA227" s="2076"/>
      <c r="AXB227" s="2076"/>
      <c r="AXC227" s="2076"/>
      <c r="AXD227" s="2076"/>
      <c r="AXE227" s="2076"/>
      <c r="AXF227" s="2076"/>
      <c r="AXG227" s="2076"/>
      <c r="AXH227" s="2076"/>
      <c r="AXI227" s="2076"/>
      <c r="AXJ227" s="2076"/>
    </row>
    <row r="228" spans="1:1310" s="2077" customFormat="1" ht="23.25" customHeight="1">
      <c r="A228" s="2092"/>
      <c r="B228" s="3238" t="s">
        <v>2369</v>
      </c>
      <c r="C228" s="3238"/>
      <c r="D228" s="3238"/>
      <c r="E228" s="3238"/>
      <c r="F228" s="2086"/>
      <c r="G228" s="3238" t="s">
        <v>2370</v>
      </c>
      <c r="H228" s="3238"/>
      <c r="I228" s="3238"/>
      <c r="J228" s="2086"/>
      <c r="K228" s="3241" t="s">
        <v>2371</v>
      </c>
      <c r="L228" s="3241"/>
      <c r="M228" s="3241"/>
      <c r="N228" s="2086"/>
      <c r="O228" s="3238" t="s">
        <v>2372</v>
      </c>
      <c r="P228" s="3238"/>
      <c r="Q228" s="2086"/>
      <c r="R228" s="755"/>
      <c r="S228" s="755"/>
      <c r="T228" s="755"/>
      <c r="U228" s="755"/>
      <c r="V228" s="755"/>
      <c r="W228" s="755"/>
      <c r="X228" s="755"/>
      <c r="Y228" s="755"/>
      <c r="Z228" s="755"/>
      <c r="AA228" s="755"/>
      <c r="AB228" s="755"/>
      <c r="AC228" s="755"/>
      <c r="AD228" s="2075"/>
      <c r="AE228" s="2075"/>
      <c r="AF228" s="2075"/>
      <c r="AG228" s="2075"/>
      <c r="AH228" s="2075"/>
      <c r="AI228" s="2075"/>
      <c r="AJ228" s="2075"/>
      <c r="AK228" s="2075"/>
      <c r="AL228" s="2075"/>
      <c r="AM228" s="2075"/>
      <c r="AN228" s="2075"/>
      <c r="AO228" s="2075"/>
      <c r="AP228" s="2075"/>
      <c r="AQ228" s="2075"/>
      <c r="AR228" s="2075"/>
      <c r="AS228" s="2075"/>
      <c r="AT228" s="2075"/>
      <c r="AU228" s="2075"/>
      <c r="AV228" s="2076"/>
      <c r="AW228" s="2076"/>
      <c r="AX228" s="2076"/>
      <c r="AY228" s="2076"/>
      <c r="AZ228" s="2076"/>
      <c r="BA228" s="2076"/>
      <c r="BB228" s="2076"/>
      <c r="BC228" s="2076"/>
      <c r="BD228" s="2076"/>
      <c r="BE228" s="2076"/>
      <c r="BF228" s="2076"/>
      <c r="BG228" s="2076"/>
      <c r="BH228" s="2076"/>
      <c r="BI228" s="2076"/>
      <c r="BJ228" s="2076"/>
      <c r="BK228" s="2076"/>
      <c r="BL228" s="2076"/>
      <c r="BM228" s="2076"/>
      <c r="BN228" s="2076"/>
      <c r="BO228" s="2076"/>
      <c r="BP228" s="2076"/>
      <c r="BQ228" s="2076"/>
      <c r="BR228" s="2076"/>
      <c r="BS228" s="2076"/>
      <c r="BT228" s="2076"/>
      <c r="BU228" s="2076"/>
      <c r="BV228" s="2076"/>
      <c r="BW228" s="2076"/>
      <c r="BX228" s="2076"/>
      <c r="BY228" s="2076"/>
      <c r="BZ228" s="2076"/>
      <c r="CA228" s="2076"/>
      <c r="CB228" s="2076"/>
      <c r="CC228" s="2076"/>
      <c r="CD228" s="2076"/>
      <c r="CE228" s="2076"/>
      <c r="CF228" s="2076"/>
      <c r="CG228" s="2076"/>
      <c r="CH228" s="2076"/>
      <c r="CI228" s="2076"/>
      <c r="CJ228" s="2076"/>
      <c r="CK228" s="2076"/>
      <c r="CL228" s="2076"/>
      <c r="CM228" s="2076"/>
      <c r="CN228" s="2076"/>
      <c r="CO228" s="2076"/>
      <c r="CP228" s="2076"/>
      <c r="CQ228" s="2076"/>
      <c r="CR228" s="2076"/>
      <c r="CS228" s="2076"/>
      <c r="CT228" s="2076"/>
      <c r="CU228" s="2076"/>
      <c r="CV228" s="2076"/>
      <c r="CW228" s="2076"/>
      <c r="CX228" s="2076"/>
      <c r="CY228" s="2076"/>
      <c r="CZ228" s="2076"/>
      <c r="DA228" s="2076"/>
      <c r="DB228" s="2076"/>
      <c r="DC228" s="2076"/>
      <c r="DD228" s="2076"/>
      <c r="DE228" s="2076"/>
      <c r="DF228" s="2076"/>
      <c r="DG228" s="2076"/>
      <c r="DH228" s="2076"/>
      <c r="DI228" s="2076"/>
      <c r="DJ228" s="2076"/>
      <c r="DK228" s="2076"/>
      <c r="DL228" s="2076"/>
      <c r="DM228" s="2076"/>
      <c r="DN228" s="2076"/>
      <c r="DO228" s="2076"/>
      <c r="DP228" s="2076"/>
      <c r="DQ228" s="2076"/>
      <c r="DR228" s="2076"/>
      <c r="DS228" s="2076"/>
      <c r="DT228" s="2076"/>
      <c r="DU228" s="2076"/>
      <c r="DV228" s="2076"/>
      <c r="DW228" s="2076"/>
      <c r="DX228" s="2076"/>
      <c r="DY228" s="2076"/>
      <c r="DZ228" s="2076"/>
      <c r="EA228" s="2076"/>
      <c r="EB228" s="2076"/>
      <c r="EC228" s="2076"/>
      <c r="ED228" s="2076"/>
      <c r="EE228" s="2076"/>
      <c r="EF228" s="2076"/>
      <c r="EG228" s="2076"/>
      <c r="EH228" s="2076"/>
      <c r="EI228" s="2076"/>
      <c r="EJ228" s="2076"/>
      <c r="EK228" s="2076"/>
      <c r="EL228" s="2076"/>
      <c r="EM228" s="2076"/>
      <c r="EN228" s="2076"/>
      <c r="EO228" s="2076"/>
      <c r="EP228" s="2076"/>
      <c r="EQ228" s="2076"/>
      <c r="ER228" s="2076"/>
      <c r="ES228" s="2076"/>
      <c r="ET228" s="2076"/>
      <c r="EU228" s="2076"/>
      <c r="EV228" s="2076"/>
      <c r="EW228" s="2076"/>
      <c r="EX228" s="2076"/>
      <c r="EY228" s="2076"/>
      <c r="EZ228" s="2076"/>
      <c r="FA228" s="2076"/>
      <c r="FB228" s="2076"/>
      <c r="FC228" s="2076"/>
      <c r="FD228" s="2076"/>
      <c r="FE228" s="2076"/>
      <c r="FF228" s="2076"/>
      <c r="FG228" s="2076"/>
      <c r="FH228" s="2076"/>
      <c r="FI228" s="2076"/>
      <c r="FJ228" s="2076"/>
      <c r="FK228" s="2076"/>
      <c r="FL228" s="2076"/>
      <c r="FM228" s="2076"/>
      <c r="FN228" s="2076"/>
      <c r="FO228" s="2076"/>
      <c r="FP228" s="2076"/>
      <c r="FQ228" s="2076"/>
      <c r="FR228" s="2076"/>
      <c r="FS228" s="2076"/>
      <c r="FT228" s="2076"/>
      <c r="FU228" s="2076"/>
      <c r="FV228" s="2076"/>
      <c r="FW228" s="2076"/>
      <c r="FX228" s="2076"/>
      <c r="FY228" s="2076"/>
      <c r="FZ228" s="2076"/>
      <c r="GA228" s="2076"/>
      <c r="GB228" s="2076"/>
      <c r="GC228" s="2076"/>
      <c r="GD228" s="2076"/>
      <c r="GE228" s="2076"/>
      <c r="GF228" s="2076"/>
      <c r="GG228" s="2076"/>
      <c r="GH228" s="2076"/>
      <c r="GI228" s="2076"/>
      <c r="GJ228" s="2076"/>
      <c r="GK228" s="2076"/>
      <c r="GL228" s="2076"/>
      <c r="GM228" s="2076"/>
      <c r="GN228" s="2076"/>
      <c r="GO228" s="2076"/>
      <c r="GP228" s="2076"/>
      <c r="GQ228" s="2076"/>
      <c r="GR228" s="2076"/>
      <c r="GS228" s="2076"/>
      <c r="GT228" s="2076"/>
      <c r="GU228" s="2076"/>
      <c r="GV228" s="2076"/>
      <c r="GW228" s="2076"/>
      <c r="GX228" s="2076"/>
      <c r="GY228" s="2076"/>
      <c r="GZ228" s="2076"/>
      <c r="HA228" s="2076"/>
      <c r="HB228" s="2076"/>
      <c r="HC228" s="2076"/>
      <c r="HD228" s="2076"/>
      <c r="HE228" s="2076"/>
      <c r="HF228" s="2076"/>
      <c r="HG228" s="2076"/>
      <c r="HH228" s="2076"/>
      <c r="HI228" s="2076"/>
      <c r="HJ228" s="2076"/>
      <c r="HK228" s="2076"/>
      <c r="HL228" s="2076"/>
      <c r="HM228" s="2076"/>
      <c r="HN228" s="2076"/>
      <c r="HO228" s="2076"/>
      <c r="HP228" s="2076"/>
      <c r="HQ228" s="2076"/>
      <c r="HR228" s="2076"/>
      <c r="HS228" s="2076"/>
      <c r="HT228" s="2076"/>
      <c r="HU228" s="2076"/>
      <c r="HV228" s="2076"/>
      <c r="HW228" s="2076"/>
      <c r="HX228" s="2076"/>
      <c r="HY228" s="2076"/>
      <c r="HZ228" s="2076"/>
      <c r="IA228" s="2076"/>
      <c r="IB228" s="2076"/>
      <c r="IC228" s="2076"/>
      <c r="ID228" s="2076"/>
      <c r="IE228" s="2076"/>
      <c r="IF228" s="2076"/>
      <c r="IG228" s="2076"/>
      <c r="IH228" s="2076"/>
      <c r="II228" s="2076"/>
      <c r="IJ228" s="2076"/>
      <c r="IK228" s="2076"/>
      <c r="IL228" s="2076"/>
      <c r="IM228" s="2076"/>
      <c r="IN228" s="2076"/>
      <c r="IO228" s="2076"/>
      <c r="IP228" s="2076"/>
      <c r="IQ228" s="2076"/>
      <c r="IR228" s="2076"/>
      <c r="IS228" s="2076"/>
      <c r="IT228" s="2076"/>
      <c r="IU228" s="2076"/>
      <c r="IV228" s="2076"/>
      <c r="IW228" s="2076"/>
      <c r="IX228" s="2076"/>
      <c r="IY228" s="2076"/>
      <c r="IZ228" s="2076"/>
      <c r="JA228" s="2076"/>
      <c r="JB228" s="2076"/>
      <c r="JC228" s="2076"/>
      <c r="JD228" s="2076"/>
      <c r="JE228" s="2076"/>
      <c r="JF228" s="2076"/>
      <c r="JG228" s="2076"/>
      <c r="JH228" s="2076"/>
      <c r="JI228" s="2076"/>
      <c r="JJ228" s="2076"/>
      <c r="JK228" s="2076"/>
      <c r="JL228" s="2076"/>
      <c r="JM228" s="2076"/>
      <c r="JN228" s="2076"/>
      <c r="JO228" s="2076"/>
      <c r="JP228" s="2076"/>
      <c r="JQ228" s="2076"/>
      <c r="JR228" s="2076"/>
      <c r="JS228" s="2076"/>
      <c r="JT228" s="2076"/>
      <c r="JU228" s="2076"/>
      <c r="JV228" s="2076"/>
      <c r="JW228" s="2076"/>
      <c r="JX228" s="2076"/>
      <c r="JY228" s="2076"/>
      <c r="JZ228" s="2076"/>
      <c r="KA228" s="2076"/>
      <c r="KB228" s="2076"/>
      <c r="KC228" s="2076"/>
      <c r="KD228" s="2076"/>
      <c r="KE228" s="2076"/>
      <c r="KF228" s="2076"/>
      <c r="KG228" s="2076"/>
      <c r="KH228" s="2076"/>
      <c r="KI228" s="2076"/>
      <c r="KJ228" s="2076"/>
      <c r="KK228" s="2076"/>
      <c r="KL228" s="2076"/>
      <c r="KM228" s="2076"/>
      <c r="KN228" s="2076"/>
      <c r="KO228" s="2076"/>
      <c r="KP228" s="2076"/>
      <c r="KQ228" s="2076"/>
      <c r="KR228" s="2076"/>
      <c r="KS228" s="2076"/>
      <c r="KT228" s="2076"/>
      <c r="KU228" s="2076"/>
      <c r="KV228" s="2076"/>
      <c r="KW228" s="2076"/>
      <c r="KX228" s="2076"/>
      <c r="KY228" s="2076"/>
      <c r="KZ228" s="2076"/>
      <c r="LA228" s="2076"/>
      <c r="LB228" s="2076"/>
      <c r="LC228" s="2076"/>
      <c r="LD228" s="2076"/>
      <c r="LE228" s="2076"/>
      <c r="LF228" s="2076"/>
      <c r="LG228" s="2076"/>
      <c r="LH228" s="2076"/>
      <c r="LI228" s="2076"/>
      <c r="LJ228" s="2076"/>
      <c r="LK228" s="2076"/>
      <c r="LL228" s="2076"/>
      <c r="LM228" s="2076"/>
      <c r="LN228" s="2076"/>
      <c r="LO228" s="2076"/>
      <c r="LP228" s="2076"/>
      <c r="LQ228" s="2076"/>
      <c r="LR228" s="2076"/>
      <c r="LS228" s="2076"/>
      <c r="LT228" s="2076"/>
      <c r="LU228" s="2076"/>
      <c r="LV228" s="2076"/>
      <c r="LW228" s="2076"/>
      <c r="LX228" s="2076"/>
      <c r="LY228" s="2076"/>
      <c r="LZ228" s="2076"/>
      <c r="MA228" s="2076"/>
      <c r="MB228" s="2076"/>
      <c r="MC228" s="2076"/>
      <c r="MD228" s="2076"/>
      <c r="ME228" s="2076"/>
      <c r="MF228" s="2076"/>
      <c r="MG228" s="2076"/>
      <c r="MH228" s="2076"/>
      <c r="MI228" s="2076"/>
      <c r="MJ228" s="2076"/>
      <c r="MK228" s="2076"/>
      <c r="ML228" s="2076"/>
      <c r="MM228" s="2076"/>
      <c r="MN228" s="2076"/>
      <c r="MO228" s="2076"/>
      <c r="MP228" s="2076"/>
      <c r="MQ228" s="2076"/>
      <c r="MR228" s="2076"/>
      <c r="MS228" s="2076"/>
      <c r="MT228" s="2076"/>
      <c r="MU228" s="2076"/>
      <c r="MV228" s="2076"/>
      <c r="MW228" s="2076"/>
      <c r="MX228" s="2076"/>
      <c r="MY228" s="2076"/>
      <c r="MZ228" s="2076"/>
      <c r="NA228" s="2076"/>
      <c r="NB228" s="2076"/>
      <c r="NC228" s="2076"/>
      <c r="ND228" s="2076"/>
      <c r="NE228" s="2076"/>
      <c r="NF228" s="2076"/>
      <c r="NG228" s="2076"/>
      <c r="NH228" s="2076"/>
      <c r="NI228" s="2076"/>
      <c r="NJ228" s="2076"/>
      <c r="NK228" s="2076"/>
      <c r="NL228" s="2076"/>
      <c r="NM228" s="2076"/>
      <c r="NN228" s="2076"/>
      <c r="NO228" s="2076"/>
      <c r="NP228" s="2076"/>
      <c r="NQ228" s="2076"/>
      <c r="NR228" s="2076"/>
      <c r="NS228" s="2076"/>
      <c r="NT228" s="2076"/>
      <c r="NU228" s="2076"/>
      <c r="NV228" s="2076"/>
      <c r="NW228" s="2076"/>
      <c r="NX228" s="2076"/>
      <c r="NY228" s="2076"/>
      <c r="NZ228" s="2076"/>
      <c r="OA228" s="2076"/>
      <c r="OB228" s="2076"/>
      <c r="OC228" s="2076"/>
      <c r="OD228" s="2076"/>
      <c r="OE228" s="2076"/>
      <c r="OF228" s="2076"/>
      <c r="OG228" s="2076"/>
      <c r="OH228" s="2076"/>
      <c r="OI228" s="2076"/>
      <c r="OJ228" s="2076"/>
      <c r="OK228" s="2076"/>
      <c r="OL228" s="2076"/>
      <c r="OM228" s="2076"/>
      <c r="ON228" s="2076"/>
      <c r="OO228" s="2076"/>
      <c r="OP228" s="2076"/>
      <c r="OQ228" s="2076"/>
      <c r="OR228" s="2076"/>
      <c r="OS228" s="2076"/>
      <c r="OT228" s="2076"/>
      <c r="OU228" s="2076"/>
      <c r="OV228" s="2076"/>
      <c r="OW228" s="2076"/>
      <c r="OX228" s="2076"/>
      <c r="OY228" s="2076"/>
      <c r="OZ228" s="2076"/>
      <c r="PA228" s="2076"/>
      <c r="PB228" s="2076"/>
      <c r="PC228" s="2076"/>
      <c r="PD228" s="2076"/>
      <c r="PE228" s="2076"/>
      <c r="PF228" s="2076"/>
      <c r="PG228" s="2076"/>
      <c r="PH228" s="2076"/>
      <c r="PI228" s="2076"/>
      <c r="PJ228" s="2076"/>
      <c r="PK228" s="2076"/>
      <c r="PL228" s="2076"/>
      <c r="PM228" s="2076"/>
      <c r="PN228" s="2076"/>
      <c r="PO228" s="2076"/>
      <c r="PP228" s="2076"/>
      <c r="PQ228" s="2076"/>
      <c r="PR228" s="2076"/>
      <c r="PS228" s="2076"/>
      <c r="PT228" s="2076"/>
      <c r="PU228" s="2076"/>
      <c r="PV228" s="2076"/>
      <c r="PW228" s="2076"/>
      <c r="PX228" s="2076"/>
      <c r="PY228" s="2076"/>
      <c r="PZ228" s="2076"/>
      <c r="QA228" s="2076"/>
      <c r="QB228" s="2076"/>
      <c r="QC228" s="2076"/>
      <c r="QD228" s="2076"/>
      <c r="QE228" s="2076"/>
      <c r="QF228" s="2076"/>
      <c r="QG228" s="2076"/>
      <c r="QH228" s="2076"/>
      <c r="QI228" s="2076"/>
      <c r="QJ228" s="2076"/>
      <c r="QK228" s="2076"/>
      <c r="QL228" s="2076"/>
      <c r="QM228" s="2076"/>
      <c r="QN228" s="2076"/>
      <c r="QO228" s="2076"/>
      <c r="QP228" s="2076"/>
      <c r="QQ228" s="2076"/>
      <c r="QR228" s="2076"/>
      <c r="QS228" s="2076"/>
      <c r="QT228" s="2076"/>
      <c r="QU228" s="2076"/>
      <c r="QV228" s="2076"/>
      <c r="QW228" s="2076"/>
      <c r="QX228" s="2076"/>
      <c r="QY228" s="2076"/>
      <c r="QZ228" s="2076"/>
      <c r="RA228" s="2076"/>
      <c r="RB228" s="2076"/>
      <c r="RC228" s="2076"/>
      <c r="RD228" s="2076"/>
      <c r="RE228" s="2076"/>
      <c r="RF228" s="2076"/>
      <c r="RG228" s="2076"/>
      <c r="RH228" s="2076"/>
      <c r="RI228" s="2076"/>
      <c r="RJ228" s="2076"/>
      <c r="RK228" s="2076"/>
      <c r="RL228" s="2076"/>
      <c r="RM228" s="2076"/>
      <c r="RN228" s="2076"/>
      <c r="RO228" s="2076"/>
      <c r="RP228" s="2076"/>
      <c r="RQ228" s="2076"/>
      <c r="RR228" s="2076"/>
      <c r="RS228" s="2076"/>
      <c r="RT228" s="2076"/>
      <c r="RU228" s="2076"/>
      <c r="RV228" s="2076"/>
      <c r="RW228" s="2076"/>
      <c r="RX228" s="2076"/>
      <c r="RY228" s="2076"/>
      <c r="RZ228" s="2076"/>
      <c r="SA228" s="2076"/>
      <c r="SB228" s="2076"/>
      <c r="SC228" s="2076"/>
      <c r="SD228" s="2076"/>
      <c r="SE228" s="2076"/>
      <c r="SF228" s="2076"/>
      <c r="SG228" s="2076"/>
      <c r="SH228" s="2076"/>
      <c r="SI228" s="2076"/>
      <c r="SJ228" s="2076"/>
      <c r="SK228" s="2076"/>
      <c r="SL228" s="2076"/>
      <c r="SM228" s="2076"/>
      <c r="SN228" s="2076"/>
      <c r="SO228" s="2076"/>
      <c r="SP228" s="2076"/>
      <c r="SQ228" s="2076"/>
      <c r="SR228" s="2076"/>
      <c r="SS228" s="2076"/>
      <c r="ST228" s="2076"/>
      <c r="SU228" s="2076"/>
      <c r="SV228" s="2076"/>
      <c r="SW228" s="2076"/>
      <c r="SX228" s="2076"/>
      <c r="SY228" s="2076"/>
      <c r="SZ228" s="2076"/>
      <c r="TA228" s="2076"/>
      <c r="TB228" s="2076"/>
      <c r="TC228" s="2076"/>
      <c r="TD228" s="2076"/>
      <c r="TE228" s="2076"/>
      <c r="TF228" s="2076"/>
      <c r="TG228" s="2076"/>
      <c r="TH228" s="2076"/>
      <c r="TI228" s="2076"/>
      <c r="TJ228" s="2076"/>
      <c r="TK228" s="2076"/>
      <c r="TL228" s="2076"/>
      <c r="TM228" s="2076"/>
      <c r="TN228" s="2076"/>
      <c r="TO228" s="2076"/>
      <c r="TP228" s="2076"/>
      <c r="TQ228" s="2076"/>
      <c r="TR228" s="2076"/>
      <c r="TS228" s="2076"/>
      <c r="TT228" s="2076"/>
      <c r="TU228" s="2076"/>
      <c r="TV228" s="2076"/>
      <c r="TW228" s="2076"/>
      <c r="TX228" s="2076"/>
      <c r="TY228" s="2076"/>
      <c r="TZ228" s="2076"/>
      <c r="UA228" s="2076"/>
      <c r="UB228" s="2076"/>
      <c r="UC228" s="2076"/>
      <c r="UD228" s="2076"/>
      <c r="UE228" s="2076"/>
      <c r="UF228" s="2076"/>
      <c r="UG228" s="2076"/>
      <c r="UH228" s="2076"/>
      <c r="UI228" s="2076"/>
      <c r="UJ228" s="2076"/>
      <c r="UK228" s="2076"/>
      <c r="UL228" s="2076"/>
      <c r="UM228" s="2076"/>
      <c r="UN228" s="2076"/>
      <c r="UO228" s="2076"/>
      <c r="UP228" s="2076"/>
      <c r="UQ228" s="2076"/>
      <c r="UR228" s="2076"/>
      <c r="US228" s="2076"/>
      <c r="UT228" s="2076"/>
      <c r="UU228" s="2076"/>
      <c r="UV228" s="2076"/>
      <c r="UW228" s="2076"/>
      <c r="UX228" s="2076"/>
      <c r="UY228" s="2076"/>
      <c r="UZ228" s="2076"/>
      <c r="VA228" s="2076"/>
      <c r="VB228" s="2076"/>
      <c r="VC228" s="2076"/>
      <c r="VD228" s="2076"/>
      <c r="VE228" s="2076"/>
      <c r="VF228" s="2076"/>
      <c r="VG228" s="2076"/>
      <c r="VH228" s="2076"/>
      <c r="VI228" s="2076"/>
      <c r="VJ228" s="2076"/>
      <c r="VK228" s="2076"/>
      <c r="VL228" s="2076"/>
      <c r="VM228" s="2076"/>
      <c r="VN228" s="2076"/>
      <c r="VO228" s="2076"/>
      <c r="VP228" s="2076"/>
      <c r="VQ228" s="2076"/>
      <c r="VR228" s="2076"/>
      <c r="VS228" s="2076"/>
      <c r="VT228" s="2076"/>
      <c r="VU228" s="2076"/>
      <c r="VV228" s="2076"/>
      <c r="VW228" s="2076"/>
      <c r="VX228" s="2076"/>
      <c r="VY228" s="2076"/>
      <c r="VZ228" s="2076"/>
      <c r="WA228" s="2076"/>
      <c r="WB228" s="2076"/>
      <c r="WC228" s="2076"/>
      <c r="WD228" s="2076"/>
      <c r="WE228" s="2076"/>
      <c r="WF228" s="2076"/>
      <c r="WG228" s="2076"/>
      <c r="WH228" s="2076"/>
      <c r="WI228" s="2076"/>
      <c r="WJ228" s="2076"/>
      <c r="WK228" s="2076"/>
      <c r="WL228" s="2076"/>
      <c r="WM228" s="2076"/>
      <c r="WN228" s="2076"/>
      <c r="WO228" s="2076"/>
      <c r="WP228" s="2076"/>
      <c r="WQ228" s="2076"/>
      <c r="WR228" s="2076"/>
      <c r="WS228" s="2076"/>
      <c r="WT228" s="2076"/>
      <c r="WU228" s="2076"/>
      <c r="WV228" s="2076"/>
      <c r="WW228" s="2076"/>
      <c r="WX228" s="2076"/>
      <c r="WY228" s="2076"/>
      <c r="WZ228" s="2076"/>
      <c r="XA228" s="2076"/>
      <c r="XB228" s="2076"/>
      <c r="XC228" s="2076"/>
      <c r="XD228" s="2076"/>
      <c r="XE228" s="2076"/>
      <c r="XF228" s="2076"/>
      <c r="XG228" s="2076"/>
      <c r="XH228" s="2076"/>
      <c r="XI228" s="2076"/>
      <c r="XJ228" s="2076"/>
      <c r="XK228" s="2076"/>
      <c r="XL228" s="2076"/>
      <c r="XM228" s="2076"/>
      <c r="XN228" s="2076"/>
      <c r="XO228" s="2076"/>
      <c r="XP228" s="2076"/>
      <c r="XQ228" s="2076"/>
      <c r="XR228" s="2076"/>
      <c r="XS228" s="2076"/>
      <c r="XT228" s="2076"/>
      <c r="XU228" s="2076"/>
      <c r="XV228" s="2076"/>
      <c r="XW228" s="2076"/>
      <c r="XX228" s="2076"/>
      <c r="XY228" s="2076"/>
      <c r="XZ228" s="2076"/>
      <c r="YA228" s="2076"/>
      <c r="YB228" s="2076"/>
      <c r="YC228" s="2076"/>
      <c r="YD228" s="2076"/>
      <c r="YE228" s="2076"/>
      <c r="YF228" s="2076"/>
      <c r="YG228" s="2076"/>
      <c r="YH228" s="2076"/>
      <c r="YI228" s="2076"/>
      <c r="YJ228" s="2076"/>
      <c r="YK228" s="2076"/>
      <c r="YL228" s="2076"/>
      <c r="YM228" s="2076"/>
      <c r="YN228" s="2076"/>
      <c r="YO228" s="2076"/>
      <c r="YP228" s="2076"/>
      <c r="YQ228" s="2076"/>
      <c r="YR228" s="2076"/>
      <c r="YS228" s="2076"/>
      <c r="YT228" s="2076"/>
      <c r="YU228" s="2076"/>
      <c r="YV228" s="2076"/>
      <c r="YW228" s="2076"/>
      <c r="YX228" s="2076"/>
      <c r="YY228" s="2076"/>
      <c r="YZ228" s="2076"/>
      <c r="ZA228" s="2076"/>
      <c r="ZB228" s="2076"/>
      <c r="ZC228" s="2076"/>
      <c r="ZD228" s="2076"/>
      <c r="ZE228" s="2076"/>
      <c r="ZF228" s="2076"/>
      <c r="ZG228" s="2076"/>
      <c r="ZH228" s="2076"/>
      <c r="ZI228" s="2076"/>
      <c r="ZJ228" s="2076"/>
      <c r="ZK228" s="2076"/>
      <c r="ZL228" s="2076"/>
      <c r="ZM228" s="2076"/>
      <c r="ZN228" s="2076"/>
      <c r="ZO228" s="2076"/>
      <c r="ZP228" s="2076"/>
      <c r="ZQ228" s="2076"/>
      <c r="ZR228" s="2076"/>
      <c r="ZS228" s="2076"/>
      <c r="ZT228" s="2076"/>
      <c r="ZU228" s="2076"/>
      <c r="ZV228" s="2076"/>
      <c r="ZW228" s="2076"/>
      <c r="ZX228" s="2076"/>
      <c r="ZY228" s="2076"/>
      <c r="ZZ228" s="2076"/>
      <c r="AAA228" s="2076"/>
      <c r="AAB228" s="2076"/>
      <c r="AAC228" s="2076"/>
      <c r="AAD228" s="2076"/>
      <c r="AAE228" s="2076"/>
      <c r="AAF228" s="2076"/>
      <c r="AAG228" s="2076"/>
      <c r="AAH228" s="2076"/>
      <c r="AAI228" s="2076"/>
      <c r="AAJ228" s="2076"/>
      <c r="AAK228" s="2076"/>
      <c r="AAL228" s="2076"/>
      <c r="AAM228" s="2076"/>
      <c r="AAN228" s="2076"/>
      <c r="AAO228" s="2076"/>
      <c r="AAP228" s="2076"/>
      <c r="AAQ228" s="2076"/>
      <c r="AAR228" s="2076"/>
      <c r="AAS228" s="2076"/>
      <c r="AAT228" s="2076"/>
      <c r="AAU228" s="2076"/>
      <c r="AAV228" s="2076"/>
      <c r="AAW228" s="2076"/>
      <c r="AAX228" s="2076"/>
      <c r="AAY228" s="2076"/>
      <c r="AAZ228" s="2076"/>
      <c r="ABA228" s="2076"/>
      <c r="ABB228" s="2076"/>
      <c r="ABC228" s="2076"/>
      <c r="ABD228" s="2076"/>
      <c r="ABE228" s="2076"/>
      <c r="ABF228" s="2076"/>
      <c r="ABG228" s="2076"/>
      <c r="ABH228" s="2076"/>
      <c r="ABI228" s="2076"/>
      <c r="ABJ228" s="2076"/>
      <c r="ABK228" s="2076"/>
      <c r="ABL228" s="2076"/>
      <c r="ABM228" s="2076"/>
      <c r="ABN228" s="2076"/>
      <c r="ABO228" s="2076"/>
      <c r="ABP228" s="2076"/>
      <c r="ABQ228" s="2076"/>
      <c r="ABR228" s="2076"/>
      <c r="ABS228" s="2076"/>
      <c r="ABT228" s="2076"/>
      <c r="ABU228" s="2076"/>
      <c r="ABV228" s="2076"/>
      <c r="ABW228" s="2076"/>
      <c r="ABX228" s="2076"/>
      <c r="ABY228" s="2076"/>
      <c r="ABZ228" s="2076"/>
      <c r="ACA228" s="2076"/>
      <c r="ACB228" s="2076"/>
      <c r="ACC228" s="2076"/>
      <c r="ACD228" s="2076"/>
      <c r="ACE228" s="2076"/>
      <c r="ACF228" s="2076"/>
      <c r="ACG228" s="2076"/>
      <c r="ACH228" s="2076"/>
      <c r="ACI228" s="2076"/>
      <c r="ACJ228" s="2076"/>
      <c r="ACK228" s="2076"/>
      <c r="ACL228" s="2076"/>
      <c r="ACM228" s="2076"/>
      <c r="ACN228" s="2076"/>
      <c r="ACO228" s="2076"/>
      <c r="ACP228" s="2076"/>
      <c r="ACQ228" s="2076"/>
      <c r="ACR228" s="2076"/>
      <c r="ACS228" s="2076"/>
      <c r="ACT228" s="2076"/>
      <c r="ACU228" s="2076"/>
      <c r="ACV228" s="2076"/>
      <c r="ACW228" s="2076"/>
      <c r="ACX228" s="2076"/>
      <c r="ACY228" s="2076"/>
      <c r="ACZ228" s="2076"/>
      <c r="ADA228" s="2076"/>
      <c r="ADB228" s="2076"/>
      <c r="ADC228" s="2076"/>
      <c r="ADD228" s="2076"/>
      <c r="ADE228" s="2076"/>
      <c r="ADF228" s="2076"/>
      <c r="ADG228" s="2076"/>
      <c r="ADH228" s="2076"/>
      <c r="ADI228" s="2076"/>
      <c r="ADJ228" s="2076"/>
      <c r="ADK228" s="2076"/>
      <c r="ADL228" s="2076"/>
      <c r="ADM228" s="2076"/>
      <c r="ADN228" s="2076"/>
      <c r="ADO228" s="2076"/>
      <c r="ADP228" s="2076"/>
      <c r="ADQ228" s="2076"/>
      <c r="ADR228" s="2076"/>
      <c r="ADS228" s="2076"/>
      <c r="ADT228" s="2076"/>
      <c r="ADU228" s="2076"/>
      <c r="ADV228" s="2076"/>
      <c r="ADW228" s="2076"/>
      <c r="ADX228" s="2076"/>
      <c r="ADY228" s="2076"/>
      <c r="ADZ228" s="2076"/>
      <c r="AEA228" s="2076"/>
      <c r="AEB228" s="2076"/>
      <c r="AEC228" s="2076"/>
      <c r="AED228" s="2076"/>
      <c r="AEE228" s="2076"/>
      <c r="AEF228" s="2076"/>
      <c r="AEG228" s="2076"/>
      <c r="AEH228" s="2076"/>
      <c r="AEI228" s="2076"/>
      <c r="AEJ228" s="2076"/>
      <c r="AEK228" s="2076"/>
      <c r="AEL228" s="2076"/>
      <c r="AEM228" s="2076"/>
      <c r="AEN228" s="2076"/>
      <c r="AEO228" s="2076"/>
      <c r="AEP228" s="2076"/>
      <c r="AEQ228" s="2076"/>
      <c r="AER228" s="2076"/>
      <c r="AES228" s="2076"/>
      <c r="AET228" s="2076"/>
      <c r="AEU228" s="2076"/>
      <c r="AEV228" s="2076"/>
      <c r="AEW228" s="2076"/>
      <c r="AEX228" s="2076"/>
      <c r="AEY228" s="2076"/>
      <c r="AEZ228" s="2076"/>
      <c r="AFA228" s="2076"/>
      <c r="AFB228" s="2076"/>
      <c r="AFC228" s="2076"/>
      <c r="AFD228" s="2076"/>
      <c r="AFE228" s="2076"/>
      <c r="AFF228" s="2076"/>
      <c r="AFG228" s="2076"/>
      <c r="AFH228" s="2076"/>
      <c r="AFI228" s="2076"/>
      <c r="AFJ228" s="2076"/>
      <c r="AFK228" s="2076"/>
      <c r="AFL228" s="2076"/>
      <c r="AFM228" s="2076"/>
      <c r="AFN228" s="2076"/>
      <c r="AFO228" s="2076"/>
      <c r="AFP228" s="2076"/>
      <c r="AFQ228" s="2076"/>
      <c r="AFR228" s="2076"/>
      <c r="AFS228" s="2076"/>
      <c r="AFT228" s="2076"/>
      <c r="AFU228" s="2076"/>
      <c r="AFV228" s="2076"/>
      <c r="AFW228" s="2076"/>
      <c r="AFX228" s="2076"/>
      <c r="AFY228" s="2076"/>
      <c r="AFZ228" s="2076"/>
      <c r="AGA228" s="2076"/>
      <c r="AGB228" s="2076"/>
      <c r="AGC228" s="2076"/>
      <c r="AGD228" s="2076"/>
      <c r="AGE228" s="2076"/>
      <c r="AGF228" s="2076"/>
      <c r="AGG228" s="2076"/>
      <c r="AGH228" s="2076"/>
      <c r="AGI228" s="2076"/>
      <c r="AGJ228" s="2076"/>
      <c r="AGK228" s="2076"/>
      <c r="AGL228" s="2076"/>
      <c r="AGM228" s="2076"/>
      <c r="AGN228" s="2076"/>
      <c r="AGO228" s="2076"/>
      <c r="AGP228" s="2076"/>
      <c r="AGQ228" s="2076"/>
      <c r="AGR228" s="2076"/>
      <c r="AGS228" s="2076"/>
      <c r="AGT228" s="2076"/>
      <c r="AGU228" s="2076"/>
      <c r="AGV228" s="2076"/>
      <c r="AGW228" s="2076"/>
      <c r="AGX228" s="2076"/>
      <c r="AGY228" s="2076"/>
      <c r="AGZ228" s="2076"/>
      <c r="AHA228" s="2076"/>
      <c r="AHB228" s="2076"/>
      <c r="AHC228" s="2076"/>
      <c r="AHD228" s="2076"/>
      <c r="AHE228" s="2076"/>
      <c r="AHF228" s="2076"/>
      <c r="AHG228" s="2076"/>
      <c r="AHH228" s="2076"/>
      <c r="AHI228" s="2076"/>
      <c r="AHJ228" s="2076"/>
      <c r="AHK228" s="2076"/>
      <c r="AHL228" s="2076"/>
      <c r="AHM228" s="2076"/>
      <c r="AHN228" s="2076"/>
      <c r="AHO228" s="2076"/>
      <c r="AHP228" s="2076"/>
      <c r="AHQ228" s="2076"/>
      <c r="AHR228" s="2076"/>
      <c r="AHS228" s="2076"/>
      <c r="AHT228" s="2076"/>
      <c r="AHU228" s="2076"/>
      <c r="AHV228" s="2076"/>
      <c r="AHW228" s="2076"/>
      <c r="AHX228" s="2076"/>
      <c r="AHY228" s="2076"/>
      <c r="AHZ228" s="2076"/>
      <c r="AIA228" s="2076"/>
      <c r="AIB228" s="2076"/>
      <c r="AIC228" s="2076"/>
      <c r="AID228" s="2076"/>
      <c r="AIE228" s="2076"/>
      <c r="AIF228" s="2076"/>
      <c r="AIG228" s="2076"/>
      <c r="AIH228" s="2076"/>
      <c r="AII228" s="2076"/>
      <c r="AIJ228" s="2076"/>
      <c r="AIK228" s="2076"/>
      <c r="AIL228" s="2076"/>
      <c r="AIM228" s="2076"/>
      <c r="AIN228" s="2076"/>
      <c r="AIO228" s="2076"/>
      <c r="AIP228" s="2076"/>
      <c r="AIQ228" s="2076"/>
      <c r="AIR228" s="2076"/>
      <c r="AIS228" s="2076"/>
      <c r="AIT228" s="2076"/>
      <c r="AIU228" s="2076"/>
      <c r="AIV228" s="2076"/>
      <c r="AIW228" s="2076"/>
      <c r="AIX228" s="2076"/>
      <c r="AIY228" s="2076"/>
      <c r="AIZ228" s="2076"/>
      <c r="AJA228" s="2076"/>
      <c r="AJB228" s="2076"/>
      <c r="AJC228" s="2076"/>
      <c r="AJD228" s="2076"/>
      <c r="AJE228" s="2076"/>
      <c r="AJF228" s="2076"/>
      <c r="AJG228" s="2076"/>
      <c r="AJH228" s="2076"/>
      <c r="AJI228" s="2076"/>
      <c r="AJJ228" s="2076"/>
      <c r="AJK228" s="2076"/>
      <c r="AJL228" s="2076"/>
      <c r="AJM228" s="2076"/>
      <c r="AJN228" s="2076"/>
      <c r="AJO228" s="2076"/>
      <c r="AJP228" s="2076"/>
      <c r="AJQ228" s="2076"/>
      <c r="AJR228" s="2076"/>
      <c r="AJS228" s="2076"/>
      <c r="AJT228" s="2076"/>
      <c r="AJU228" s="2076"/>
      <c r="AJV228" s="2076"/>
      <c r="AJW228" s="2076"/>
      <c r="AJX228" s="2076"/>
      <c r="AJY228" s="2076"/>
      <c r="AJZ228" s="2076"/>
      <c r="AKA228" s="2076"/>
      <c r="AKB228" s="2076"/>
      <c r="AKC228" s="2076"/>
      <c r="AKD228" s="2076"/>
      <c r="AKE228" s="2076"/>
      <c r="AKF228" s="2076"/>
      <c r="AKG228" s="2076"/>
      <c r="AKH228" s="2076"/>
      <c r="AKI228" s="2076"/>
      <c r="AKJ228" s="2076"/>
      <c r="AKK228" s="2076"/>
      <c r="AKL228" s="2076"/>
      <c r="AKM228" s="2076"/>
      <c r="AKN228" s="2076"/>
      <c r="AKO228" s="2076"/>
      <c r="AKP228" s="2076"/>
      <c r="AKQ228" s="2076"/>
      <c r="AKR228" s="2076"/>
      <c r="AKS228" s="2076"/>
      <c r="AKT228" s="2076"/>
      <c r="AKU228" s="2076"/>
      <c r="AKV228" s="2076"/>
      <c r="AKW228" s="2076"/>
      <c r="AKX228" s="2076"/>
      <c r="AKY228" s="2076"/>
      <c r="AKZ228" s="2076"/>
      <c r="ALA228" s="2076"/>
      <c r="ALB228" s="2076"/>
      <c r="ALC228" s="2076"/>
      <c r="ALD228" s="2076"/>
      <c r="ALE228" s="2076"/>
      <c r="ALF228" s="2076"/>
      <c r="ALG228" s="2076"/>
      <c r="ALH228" s="2076"/>
      <c r="ALI228" s="2076"/>
      <c r="ALJ228" s="2076"/>
      <c r="ALK228" s="2076"/>
      <c r="ALL228" s="2076"/>
      <c r="ALM228" s="2076"/>
      <c r="ALN228" s="2076"/>
      <c r="ALO228" s="2076"/>
      <c r="ALP228" s="2076"/>
      <c r="ALQ228" s="2076"/>
      <c r="ALR228" s="2076"/>
      <c r="ALS228" s="2076"/>
      <c r="ALT228" s="2076"/>
      <c r="ALU228" s="2076"/>
      <c r="ALV228" s="2076"/>
      <c r="ALW228" s="2076"/>
      <c r="ALX228" s="2076"/>
      <c r="ALY228" s="2076"/>
      <c r="ALZ228" s="2076"/>
      <c r="AMA228" s="2076"/>
      <c r="AMB228" s="2076"/>
      <c r="AMC228" s="2076"/>
      <c r="AMD228" s="2076"/>
      <c r="AME228" s="2076"/>
      <c r="AMF228" s="2076"/>
      <c r="AMG228" s="2076"/>
      <c r="AMH228" s="2076"/>
      <c r="AMI228" s="2076"/>
      <c r="AMJ228" s="2076"/>
      <c r="AMK228" s="2076"/>
      <c r="AML228" s="2076"/>
      <c r="AMM228" s="2076"/>
      <c r="AMN228" s="2076"/>
      <c r="AMO228" s="2076"/>
      <c r="AMP228" s="2076"/>
      <c r="AMQ228" s="2076"/>
      <c r="AMR228" s="2076"/>
      <c r="AMS228" s="2076"/>
      <c r="AMT228" s="2076"/>
      <c r="AMU228" s="2076"/>
      <c r="AMV228" s="2076"/>
      <c r="AMW228" s="2076"/>
      <c r="AMX228" s="2076"/>
      <c r="AMY228" s="2076"/>
      <c r="AMZ228" s="2076"/>
      <c r="ANA228" s="2076"/>
      <c r="ANB228" s="2076"/>
      <c r="ANC228" s="2076"/>
      <c r="AND228" s="2076"/>
      <c r="ANE228" s="2076"/>
      <c r="ANF228" s="2076"/>
      <c r="ANG228" s="2076"/>
      <c r="ANH228" s="2076"/>
      <c r="ANI228" s="2076"/>
      <c r="ANJ228" s="2076"/>
      <c r="ANK228" s="2076"/>
      <c r="ANL228" s="2076"/>
      <c r="ANM228" s="2076"/>
      <c r="ANN228" s="2076"/>
      <c r="ANO228" s="2076"/>
      <c r="ANP228" s="2076"/>
      <c r="ANQ228" s="2076"/>
      <c r="ANR228" s="2076"/>
      <c r="ANS228" s="2076"/>
      <c r="ANT228" s="2076"/>
      <c r="ANU228" s="2076"/>
      <c r="ANV228" s="2076"/>
      <c r="ANW228" s="2076"/>
      <c r="ANX228" s="2076"/>
      <c r="ANY228" s="2076"/>
      <c r="ANZ228" s="2076"/>
      <c r="AOA228" s="2076"/>
      <c r="AOB228" s="2076"/>
      <c r="AOC228" s="2076"/>
      <c r="AOD228" s="2076"/>
      <c r="AOE228" s="2076"/>
      <c r="AOF228" s="2076"/>
      <c r="AOG228" s="2076"/>
      <c r="AOH228" s="2076"/>
      <c r="AOI228" s="2076"/>
      <c r="AOJ228" s="2076"/>
      <c r="AOK228" s="2076"/>
      <c r="AOL228" s="2076"/>
      <c r="AOM228" s="2076"/>
      <c r="AON228" s="2076"/>
      <c r="AOO228" s="2076"/>
      <c r="AOP228" s="2076"/>
      <c r="AOQ228" s="2076"/>
      <c r="AOR228" s="2076"/>
      <c r="AOS228" s="2076"/>
      <c r="AOT228" s="2076"/>
      <c r="AOU228" s="2076"/>
      <c r="AOV228" s="2076"/>
      <c r="AOW228" s="2076"/>
      <c r="AOX228" s="2076"/>
      <c r="AOY228" s="2076"/>
      <c r="AOZ228" s="2076"/>
      <c r="APA228" s="2076"/>
      <c r="APB228" s="2076"/>
      <c r="APC228" s="2076"/>
      <c r="APD228" s="2076"/>
      <c r="APE228" s="2076"/>
      <c r="APF228" s="2076"/>
      <c r="APG228" s="2076"/>
      <c r="APH228" s="2076"/>
      <c r="API228" s="2076"/>
      <c r="APJ228" s="2076"/>
      <c r="APK228" s="2076"/>
      <c r="APL228" s="2076"/>
      <c r="APM228" s="2076"/>
      <c r="APN228" s="2076"/>
      <c r="APO228" s="2076"/>
      <c r="APP228" s="2076"/>
      <c r="APQ228" s="2076"/>
      <c r="APR228" s="2076"/>
      <c r="APS228" s="2076"/>
      <c r="APT228" s="2076"/>
      <c r="APU228" s="2076"/>
      <c r="APV228" s="2076"/>
      <c r="APW228" s="2076"/>
      <c r="APX228" s="2076"/>
      <c r="APY228" s="2076"/>
      <c r="APZ228" s="2076"/>
      <c r="AQA228" s="2076"/>
      <c r="AQB228" s="2076"/>
      <c r="AQC228" s="2076"/>
      <c r="AQD228" s="2076"/>
      <c r="AQE228" s="2076"/>
      <c r="AQF228" s="2076"/>
      <c r="AQG228" s="2076"/>
      <c r="AQH228" s="2076"/>
      <c r="AQI228" s="2076"/>
      <c r="AQJ228" s="2076"/>
      <c r="AQK228" s="2076"/>
      <c r="AQL228" s="2076"/>
      <c r="AQM228" s="2076"/>
      <c r="AQN228" s="2076"/>
      <c r="AQO228" s="2076"/>
      <c r="AQP228" s="2076"/>
      <c r="AQQ228" s="2076"/>
      <c r="AQR228" s="2076"/>
      <c r="AQS228" s="2076"/>
      <c r="AQT228" s="2076"/>
      <c r="AQU228" s="2076"/>
      <c r="AQV228" s="2076"/>
      <c r="AQW228" s="2076"/>
      <c r="AQX228" s="2076"/>
      <c r="AQY228" s="2076"/>
      <c r="AQZ228" s="2076"/>
      <c r="ARA228" s="2076"/>
      <c r="ARB228" s="2076"/>
      <c r="ARC228" s="2076"/>
      <c r="ARD228" s="2076"/>
      <c r="ARE228" s="2076"/>
      <c r="ARF228" s="2076"/>
      <c r="ARG228" s="2076"/>
      <c r="ARH228" s="2076"/>
      <c r="ARI228" s="2076"/>
      <c r="ARJ228" s="2076"/>
      <c r="ARK228" s="2076"/>
      <c r="ARL228" s="2076"/>
      <c r="ARM228" s="2076"/>
      <c r="ARN228" s="2076"/>
      <c r="ARO228" s="2076"/>
      <c r="ARP228" s="2076"/>
      <c r="ARQ228" s="2076"/>
      <c r="ARR228" s="2076"/>
      <c r="ARS228" s="2076"/>
      <c r="ART228" s="2076"/>
      <c r="ARU228" s="2076"/>
      <c r="ARV228" s="2076"/>
      <c r="ARW228" s="2076"/>
      <c r="ARX228" s="2076"/>
      <c r="ARY228" s="2076"/>
      <c r="ARZ228" s="2076"/>
      <c r="ASA228" s="2076"/>
      <c r="ASB228" s="2076"/>
      <c r="ASC228" s="2076"/>
      <c r="ASD228" s="2076"/>
      <c r="ASE228" s="2076"/>
      <c r="ASF228" s="2076"/>
      <c r="ASG228" s="2076"/>
      <c r="ASH228" s="2076"/>
      <c r="ASI228" s="2076"/>
      <c r="ASJ228" s="2076"/>
      <c r="ASK228" s="2076"/>
      <c r="ASL228" s="2076"/>
      <c r="ASM228" s="2076"/>
      <c r="ASN228" s="2076"/>
      <c r="ASO228" s="2076"/>
      <c r="ASP228" s="2076"/>
      <c r="ASQ228" s="2076"/>
      <c r="ASR228" s="2076"/>
      <c r="ASS228" s="2076"/>
      <c r="AST228" s="2076"/>
      <c r="ASU228" s="2076"/>
      <c r="ASV228" s="2076"/>
      <c r="ASW228" s="2076"/>
      <c r="ASX228" s="2076"/>
      <c r="ASY228" s="2076"/>
      <c r="ASZ228" s="2076"/>
      <c r="ATA228" s="2076"/>
      <c r="ATB228" s="2076"/>
      <c r="ATC228" s="2076"/>
      <c r="ATD228" s="2076"/>
      <c r="ATE228" s="2076"/>
      <c r="ATF228" s="2076"/>
      <c r="ATG228" s="2076"/>
      <c r="ATH228" s="2076"/>
      <c r="ATI228" s="2076"/>
      <c r="ATJ228" s="2076"/>
      <c r="ATK228" s="2076"/>
      <c r="ATL228" s="2076"/>
      <c r="ATM228" s="2076"/>
      <c r="ATN228" s="2076"/>
      <c r="ATO228" s="2076"/>
      <c r="ATP228" s="2076"/>
      <c r="ATQ228" s="2076"/>
      <c r="ATR228" s="2076"/>
      <c r="ATS228" s="2076"/>
      <c r="ATT228" s="2076"/>
      <c r="ATU228" s="2076"/>
      <c r="ATV228" s="2076"/>
      <c r="ATW228" s="2076"/>
      <c r="ATX228" s="2076"/>
      <c r="ATY228" s="2076"/>
      <c r="ATZ228" s="2076"/>
      <c r="AUA228" s="2076"/>
      <c r="AUB228" s="2076"/>
      <c r="AUC228" s="2076"/>
      <c r="AUD228" s="2076"/>
      <c r="AUE228" s="2076"/>
      <c r="AUF228" s="2076"/>
      <c r="AUG228" s="2076"/>
      <c r="AUH228" s="2076"/>
      <c r="AUI228" s="2076"/>
      <c r="AUJ228" s="2076"/>
      <c r="AUK228" s="2076"/>
      <c r="AUL228" s="2076"/>
      <c r="AUM228" s="2076"/>
      <c r="AUN228" s="2076"/>
      <c r="AUO228" s="2076"/>
      <c r="AUP228" s="2076"/>
      <c r="AUQ228" s="2076"/>
      <c r="AUR228" s="2076"/>
      <c r="AUS228" s="2076"/>
      <c r="AUT228" s="2076"/>
      <c r="AUU228" s="2076"/>
      <c r="AUV228" s="2076"/>
      <c r="AUW228" s="2076"/>
      <c r="AUX228" s="2076"/>
      <c r="AUY228" s="2076"/>
      <c r="AUZ228" s="2076"/>
      <c r="AVA228" s="2076"/>
      <c r="AVB228" s="2076"/>
      <c r="AVC228" s="2076"/>
      <c r="AVD228" s="2076"/>
      <c r="AVE228" s="2076"/>
      <c r="AVF228" s="2076"/>
      <c r="AVG228" s="2076"/>
      <c r="AVH228" s="2076"/>
      <c r="AVI228" s="2076"/>
      <c r="AVJ228" s="2076"/>
      <c r="AVK228" s="2076"/>
      <c r="AVL228" s="2076"/>
      <c r="AVM228" s="2076"/>
      <c r="AVN228" s="2076"/>
      <c r="AVO228" s="2076"/>
      <c r="AVP228" s="2076"/>
      <c r="AVQ228" s="2076"/>
      <c r="AVR228" s="2076"/>
      <c r="AVS228" s="2076"/>
      <c r="AVT228" s="2076"/>
      <c r="AVU228" s="2076"/>
      <c r="AVV228" s="2076"/>
      <c r="AVW228" s="2076"/>
      <c r="AVX228" s="2076"/>
      <c r="AVY228" s="2076"/>
      <c r="AVZ228" s="2076"/>
      <c r="AWA228" s="2076"/>
      <c r="AWB228" s="2076"/>
      <c r="AWC228" s="2076"/>
      <c r="AWD228" s="2076"/>
      <c r="AWE228" s="2076"/>
      <c r="AWF228" s="2076"/>
      <c r="AWG228" s="2076"/>
      <c r="AWH228" s="2076"/>
      <c r="AWI228" s="2076"/>
      <c r="AWJ228" s="2076"/>
      <c r="AWK228" s="2076"/>
      <c r="AWL228" s="2076"/>
      <c r="AWM228" s="2076"/>
      <c r="AWN228" s="2076"/>
      <c r="AWO228" s="2076"/>
      <c r="AWP228" s="2076"/>
      <c r="AWQ228" s="2076"/>
      <c r="AWR228" s="2076"/>
      <c r="AWS228" s="2076"/>
      <c r="AWT228" s="2076"/>
      <c r="AWU228" s="2076"/>
      <c r="AWV228" s="2076"/>
      <c r="AWW228" s="2076"/>
      <c r="AWX228" s="2076"/>
      <c r="AWY228" s="2076"/>
      <c r="AWZ228" s="2076"/>
      <c r="AXA228" s="2076"/>
      <c r="AXB228" s="2076"/>
      <c r="AXC228" s="2076"/>
      <c r="AXD228" s="2076"/>
      <c r="AXE228" s="2076"/>
      <c r="AXF228" s="2076"/>
      <c r="AXG228" s="2076"/>
      <c r="AXH228" s="2076"/>
      <c r="AXI228" s="2076"/>
      <c r="AXJ228" s="2076"/>
    </row>
    <row r="229" spans="1:1310" s="2077" customFormat="1" ht="23.25" customHeight="1">
      <c r="A229" s="2092"/>
      <c r="B229" s="3238" t="s">
        <v>2373</v>
      </c>
      <c r="C229" s="3238"/>
      <c r="D229" s="3238"/>
      <c r="E229" s="3238"/>
      <c r="F229" s="2086"/>
      <c r="G229" s="3238" t="s">
        <v>2374</v>
      </c>
      <c r="H229" s="3238"/>
      <c r="I229" s="3238"/>
      <c r="J229" s="2086"/>
      <c r="K229" s="3241"/>
      <c r="L229" s="3241"/>
      <c r="M229" s="3241"/>
      <c r="N229" s="2086"/>
      <c r="O229" s="3238" t="s">
        <v>2375</v>
      </c>
      <c r="P229" s="3238"/>
      <c r="Q229" s="2086"/>
      <c r="R229" s="755"/>
      <c r="S229" s="755"/>
      <c r="T229" s="755"/>
      <c r="U229" s="755"/>
      <c r="V229" s="755"/>
      <c r="W229" s="755"/>
      <c r="X229" s="755"/>
      <c r="Y229" s="755"/>
      <c r="Z229" s="755"/>
      <c r="AA229" s="755"/>
      <c r="AB229" s="755"/>
      <c r="AC229" s="755"/>
      <c r="AD229" s="2075"/>
      <c r="AE229" s="2075"/>
      <c r="AF229" s="2075"/>
      <c r="AG229" s="2075"/>
      <c r="AH229" s="2075"/>
      <c r="AI229" s="2075"/>
      <c r="AJ229" s="2075"/>
      <c r="AK229" s="2075"/>
      <c r="AL229" s="2075"/>
      <c r="AM229" s="2075"/>
      <c r="AN229" s="2075"/>
      <c r="AO229" s="2075"/>
      <c r="AP229" s="2075"/>
      <c r="AQ229" s="2075"/>
      <c r="AR229" s="2075"/>
      <c r="AS229" s="2075"/>
      <c r="AT229" s="2075"/>
      <c r="AU229" s="2075"/>
      <c r="AV229" s="2076"/>
      <c r="AW229" s="2076"/>
      <c r="AX229" s="2076"/>
      <c r="AY229" s="2076"/>
      <c r="AZ229" s="2076"/>
      <c r="BA229" s="2076"/>
      <c r="BB229" s="2076"/>
      <c r="BC229" s="2076"/>
      <c r="BD229" s="2076"/>
      <c r="BE229" s="2076"/>
      <c r="BF229" s="2076"/>
      <c r="BG229" s="2076"/>
      <c r="BH229" s="2076"/>
      <c r="BI229" s="2076"/>
      <c r="BJ229" s="2076"/>
      <c r="BK229" s="2076"/>
      <c r="BL229" s="2076"/>
      <c r="BM229" s="2076"/>
      <c r="BN229" s="2076"/>
      <c r="BO229" s="2076"/>
      <c r="BP229" s="2076"/>
      <c r="BQ229" s="2076"/>
      <c r="BR229" s="2076"/>
      <c r="BS229" s="2076"/>
      <c r="BT229" s="2076"/>
      <c r="BU229" s="2076"/>
      <c r="BV229" s="2076"/>
      <c r="BW229" s="2076"/>
      <c r="BX229" s="2076"/>
      <c r="BY229" s="2076"/>
      <c r="BZ229" s="2076"/>
      <c r="CA229" s="2076"/>
      <c r="CB229" s="2076"/>
      <c r="CC229" s="2076"/>
      <c r="CD229" s="2076"/>
      <c r="CE229" s="2076"/>
      <c r="CF229" s="2076"/>
      <c r="CG229" s="2076"/>
      <c r="CH229" s="2076"/>
      <c r="CI229" s="2076"/>
      <c r="CJ229" s="2076"/>
      <c r="CK229" s="2076"/>
      <c r="CL229" s="2076"/>
      <c r="CM229" s="2076"/>
      <c r="CN229" s="2076"/>
      <c r="CO229" s="2076"/>
      <c r="CP229" s="2076"/>
      <c r="CQ229" s="2076"/>
      <c r="CR229" s="2076"/>
      <c r="CS229" s="2076"/>
      <c r="CT229" s="2076"/>
      <c r="CU229" s="2076"/>
      <c r="CV229" s="2076"/>
      <c r="CW229" s="2076"/>
      <c r="CX229" s="2076"/>
      <c r="CY229" s="2076"/>
      <c r="CZ229" s="2076"/>
      <c r="DA229" s="2076"/>
      <c r="DB229" s="2076"/>
      <c r="DC229" s="2076"/>
      <c r="DD229" s="2076"/>
      <c r="DE229" s="2076"/>
      <c r="DF229" s="2076"/>
      <c r="DG229" s="2076"/>
      <c r="DH229" s="2076"/>
      <c r="DI229" s="2076"/>
      <c r="DJ229" s="2076"/>
      <c r="DK229" s="2076"/>
      <c r="DL229" s="2076"/>
      <c r="DM229" s="2076"/>
      <c r="DN229" s="2076"/>
      <c r="DO229" s="2076"/>
      <c r="DP229" s="2076"/>
      <c r="DQ229" s="2076"/>
      <c r="DR229" s="2076"/>
      <c r="DS229" s="2076"/>
      <c r="DT229" s="2076"/>
      <c r="DU229" s="2076"/>
      <c r="DV229" s="2076"/>
      <c r="DW229" s="2076"/>
      <c r="DX229" s="2076"/>
      <c r="DY229" s="2076"/>
      <c r="DZ229" s="2076"/>
      <c r="EA229" s="2076"/>
      <c r="EB229" s="2076"/>
      <c r="EC229" s="2076"/>
      <c r="ED229" s="2076"/>
      <c r="EE229" s="2076"/>
      <c r="EF229" s="2076"/>
      <c r="EG229" s="2076"/>
      <c r="EH229" s="2076"/>
      <c r="EI229" s="2076"/>
      <c r="EJ229" s="2076"/>
      <c r="EK229" s="2076"/>
      <c r="EL229" s="2076"/>
      <c r="EM229" s="2076"/>
      <c r="EN229" s="2076"/>
      <c r="EO229" s="2076"/>
      <c r="EP229" s="2076"/>
      <c r="EQ229" s="2076"/>
      <c r="ER229" s="2076"/>
      <c r="ES229" s="2076"/>
      <c r="ET229" s="2076"/>
      <c r="EU229" s="2076"/>
      <c r="EV229" s="2076"/>
      <c r="EW229" s="2076"/>
      <c r="EX229" s="2076"/>
      <c r="EY229" s="2076"/>
      <c r="EZ229" s="2076"/>
      <c r="FA229" s="2076"/>
      <c r="FB229" s="2076"/>
      <c r="FC229" s="2076"/>
      <c r="FD229" s="2076"/>
      <c r="FE229" s="2076"/>
      <c r="FF229" s="2076"/>
      <c r="FG229" s="2076"/>
      <c r="FH229" s="2076"/>
      <c r="FI229" s="2076"/>
      <c r="FJ229" s="2076"/>
      <c r="FK229" s="2076"/>
      <c r="FL229" s="2076"/>
      <c r="FM229" s="2076"/>
      <c r="FN229" s="2076"/>
      <c r="FO229" s="2076"/>
      <c r="FP229" s="2076"/>
      <c r="FQ229" s="2076"/>
      <c r="FR229" s="2076"/>
      <c r="FS229" s="2076"/>
      <c r="FT229" s="2076"/>
      <c r="FU229" s="2076"/>
      <c r="FV229" s="2076"/>
      <c r="FW229" s="2076"/>
      <c r="FX229" s="2076"/>
      <c r="FY229" s="2076"/>
      <c r="FZ229" s="2076"/>
      <c r="GA229" s="2076"/>
      <c r="GB229" s="2076"/>
      <c r="GC229" s="2076"/>
      <c r="GD229" s="2076"/>
      <c r="GE229" s="2076"/>
      <c r="GF229" s="2076"/>
      <c r="GG229" s="2076"/>
      <c r="GH229" s="2076"/>
      <c r="GI229" s="2076"/>
      <c r="GJ229" s="2076"/>
      <c r="GK229" s="2076"/>
      <c r="GL229" s="2076"/>
      <c r="GM229" s="2076"/>
      <c r="GN229" s="2076"/>
      <c r="GO229" s="2076"/>
      <c r="GP229" s="2076"/>
      <c r="GQ229" s="2076"/>
      <c r="GR229" s="2076"/>
      <c r="GS229" s="2076"/>
      <c r="GT229" s="2076"/>
      <c r="GU229" s="2076"/>
      <c r="GV229" s="2076"/>
      <c r="GW229" s="2076"/>
      <c r="GX229" s="2076"/>
      <c r="GY229" s="2076"/>
      <c r="GZ229" s="2076"/>
      <c r="HA229" s="2076"/>
      <c r="HB229" s="2076"/>
      <c r="HC229" s="2076"/>
      <c r="HD229" s="2076"/>
      <c r="HE229" s="2076"/>
      <c r="HF229" s="2076"/>
      <c r="HG229" s="2076"/>
      <c r="HH229" s="2076"/>
      <c r="HI229" s="2076"/>
      <c r="HJ229" s="2076"/>
      <c r="HK229" s="2076"/>
      <c r="HL229" s="2076"/>
      <c r="HM229" s="2076"/>
      <c r="HN229" s="2076"/>
      <c r="HO229" s="2076"/>
      <c r="HP229" s="2076"/>
      <c r="HQ229" s="2076"/>
      <c r="HR229" s="2076"/>
      <c r="HS229" s="2076"/>
      <c r="HT229" s="2076"/>
      <c r="HU229" s="2076"/>
      <c r="HV229" s="2076"/>
      <c r="HW229" s="2076"/>
      <c r="HX229" s="2076"/>
      <c r="HY229" s="2076"/>
      <c r="HZ229" s="2076"/>
      <c r="IA229" s="2076"/>
      <c r="IB229" s="2076"/>
      <c r="IC229" s="2076"/>
      <c r="ID229" s="2076"/>
      <c r="IE229" s="2076"/>
      <c r="IF229" s="2076"/>
      <c r="IG229" s="2076"/>
      <c r="IH229" s="2076"/>
      <c r="II229" s="2076"/>
      <c r="IJ229" s="2076"/>
      <c r="IK229" s="2076"/>
      <c r="IL229" s="2076"/>
      <c r="IM229" s="2076"/>
      <c r="IN229" s="2076"/>
      <c r="IO229" s="2076"/>
      <c r="IP229" s="2076"/>
      <c r="IQ229" s="2076"/>
      <c r="IR229" s="2076"/>
      <c r="IS229" s="2076"/>
      <c r="IT229" s="2076"/>
      <c r="IU229" s="2076"/>
      <c r="IV229" s="2076"/>
      <c r="IW229" s="2076"/>
      <c r="IX229" s="2076"/>
      <c r="IY229" s="2076"/>
      <c r="IZ229" s="2076"/>
      <c r="JA229" s="2076"/>
      <c r="JB229" s="2076"/>
      <c r="JC229" s="2076"/>
      <c r="JD229" s="2076"/>
      <c r="JE229" s="2076"/>
      <c r="JF229" s="2076"/>
      <c r="JG229" s="2076"/>
      <c r="JH229" s="2076"/>
      <c r="JI229" s="2076"/>
      <c r="JJ229" s="2076"/>
      <c r="JK229" s="2076"/>
      <c r="JL229" s="2076"/>
      <c r="JM229" s="2076"/>
      <c r="JN229" s="2076"/>
      <c r="JO229" s="2076"/>
      <c r="JP229" s="2076"/>
      <c r="JQ229" s="2076"/>
      <c r="JR229" s="2076"/>
      <c r="JS229" s="2076"/>
      <c r="JT229" s="2076"/>
      <c r="JU229" s="2076"/>
      <c r="JV229" s="2076"/>
      <c r="JW229" s="2076"/>
      <c r="JX229" s="2076"/>
      <c r="JY229" s="2076"/>
      <c r="JZ229" s="2076"/>
      <c r="KA229" s="2076"/>
      <c r="KB229" s="2076"/>
      <c r="KC229" s="2076"/>
      <c r="KD229" s="2076"/>
      <c r="KE229" s="2076"/>
      <c r="KF229" s="2076"/>
      <c r="KG229" s="2076"/>
      <c r="KH229" s="2076"/>
      <c r="KI229" s="2076"/>
      <c r="KJ229" s="2076"/>
      <c r="KK229" s="2076"/>
      <c r="KL229" s="2076"/>
      <c r="KM229" s="2076"/>
      <c r="KN229" s="2076"/>
      <c r="KO229" s="2076"/>
      <c r="KP229" s="2076"/>
      <c r="KQ229" s="2076"/>
      <c r="KR229" s="2076"/>
      <c r="KS229" s="2076"/>
      <c r="KT229" s="2076"/>
      <c r="KU229" s="2076"/>
      <c r="KV229" s="2076"/>
      <c r="KW229" s="2076"/>
      <c r="KX229" s="2076"/>
      <c r="KY229" s="2076"/>
      <c r="KZ229" s="2076"/>
      <c r="LA229" s="2076"/>
      <c r="LB229" s="2076"/>
      <c r="LC229" s="2076"/>
      <c r="LD229" s="2076"/>
      <c r="LE229" s="2076"/>
      <c r="LF229" s="2076"/>
      <c r="LG229" s="2076"/>
      <c r="LH229" s="2076"/>
      <c r="LI229" s="2076"/>
      <c r="LJ229" s="2076"/>
      <c r="LK229" s="2076"/>
      <c r="LL229" s="2076"/>
      <c r="LM229" s="2076"/>
      <c r="LN229" s="2076"/>
      <c r="LO229" s="2076"/>
      <c r="LP229" s="2076"/>
      <c r="LQ229" s="2076"/>
      <c r="LR229" s="2076"/>
      <c r="LS229" s="2076"/>
      <c r="LT229" s="2076"/>
      <c r="LU229" s="2076"/>
      <c r="LV229" s="2076"/>
      <c r="LW229" s="2076"/>
      <c r="LX229" s="2076"/>
      <c r="LY229" s="2076"/>
      <c r="LZ229" s="2076"/>
      <c r="MA229" s="2076"/>
      <c r="MB229" s="2076"/>
      <c r="MC229" s="2076"/>
      <c r="MD229" s="2076"/>
      <c r="ME229" s="2076"/>
      <c r="MF229" s="2076"/>
      <c r="MG229" s="2076"/>
      <c r="MH229" s="2076"/>
      <c r="MI229" s="2076"/>
      <c r="MJ229" s="2076"/>
      <c r="MK229" s="2076"/>
      <c r="ML229" s="2076"/>
      <c r="MM229" s="2076"/>
      <c r="MN229" s="2076"/>
      <c r="MO229" s="2076"/>
      <c r="MP229" s="2076"/>
      <c r="MQ229" s="2076"/>
      <c r="MR229" s="2076"/>
      <c r="MS229" s="2076"/>
      <c r="MT229" s="2076"/>
      <c r="MU229" s="2076"/>
      <c r="MV229" s="2076"/>
      <c r="MW229" s="2076"/>
      <c r="MX229" s="2076"/>
      <c r="MY229" s="2076"/>
      <c r="MZ229" s="2076"/>
      <c r="NA229" s="2076"/>
      <c r="NB229" s="2076"/>
      <c r="NC229" s="2076"/>
      <c r="ND229" s="2076"/>
      <c r="NE229" s="2076"/>
      <c r="NF229" s="2076"/>
      <c r="NG229" s="2076"/>
      <c r="NH229" s="2076"/>
      <c r="NI229" s="2076"/>
      <c r="NJ229" s="2076"/>
      <c r="NK229" s="2076"/>
      <c r="NL229" s="2076"/>
      <c r="NM229" s="2076"/>
      <c r="NN229" s="2076"/>
      <c r="NO229" s="2076"/>
      <c r="NP229" s="2076"/>
      <c r="NQ229" s="2076"/>
      <c r="NR229" s="2076"/>
      <c r="NS229" s="2076"/>
      <c r="NT229" s="2076"/>
      <c r="NU229" s="2076"/>
      <c r="NV229" s="2076"/>
      <c r="NW229" s="2076"/>
      <c r="NX229" s="2076"/>
      <c r="NY229" s="2076"/>
      <c r="NZ229" s="2076"/>
      <c r="OA229" s="2076"/>
      <c r="OB229" s="2076"/>
      <c r="OC229" s="2076"/>
      <c r="OD229" s="2076"/>
      <c r="OE229" s="2076"/>
      <c r="OF229" s="2076"/>
      <c r="OG229" s="2076"/>
      <c r="OH229" s="2076"/>
      <c r="OI229" s="2076"/>
      <c r="OJ229" s="2076"/>
      <c r="OK229" s="2076"/>
      <c r="OL229" s="2076"/>
      <c r="OM229" s="2076"/>
      <c r="ON229" s="2076"/>
      <c r="OO229" s="2076"/>
      <c r="OP229" s="2076"/>
      <c r="OQ229" s="2076"/>
      <c r="OR229" s="2076"/>
      <c r="OS229" s="2076"/>
      <c r="OT229" s="2076"/>
      <c r="OU229" s="2076"/>
      <c r="OV229" s="2076"/>
      <c r="OW229" s="2076"/>
      <c r="OX229" s="2076"/>
      <c r="OY229" s="2076"/>
      <c r="OZ229" s="2076"/>
      <c r="PA229" s="2076"/>
      <c r="PB229" s="2076"/>
      <c r="PC229" s="2076"/>
      <c r="PD229" s="2076"/>
      <c r="PE229" s="2076"/>
      <c r="PF229" s="2076"/>
      <c r="PG229" s="2076"/>
      <c r="PH229" s="2076"/>
      <c r="PI229" s="2076"/>
      <c r="PJ229" s="2076"/>
      <c r="PK229" s="2076"/>
      <c r="PL229" s="2076"/>
      <c r="PM229" s="2076"/>
      <c r="PN229" s="2076"/>
      <c r="PO229" s="2076"/>
      <c r="PP229" s="2076"/>
      <c r="PQ229" s="2076"/>
      <c r="PR229" s="2076"/>
      <c r="PS229" s="2076"/>
      <c r="PT229" s="2076"/>
      <c r="PU229" s="2076"/>
      <c r="PV229" s="2076"/>
      <c r="PW229" s="2076"/>
      <c r="PX229" s="2076"/>
      <c r="PY229" s="2076"/>
      <c r="PZ229" s="2076"/>
      <c r="QA229" s="2076"/>
      <c r="QB229" s="2076"/>
      <c r="QC229" s="2076"/>
      <c r="QD229" s="2076"/>
      <c r="QE229" s="2076"/>
      <c r="QF229" s="2076"/>
      <c r="QG229" s="2076"/>
      <c r="QH229" s="2076"/>
      <c r="QI229" s="2076"/>
      <c r="QJ229" s="2076"/>
      <c r="QK229" s="2076"/>
      <c r="QL229" s="2076"/>
      <c r="QM229" s="2076"/>
      <c r="QN229" s="2076"/>
      <c r="QO229" s="2076"/>
      <c r="QP229" s="2076"/>
      <c r="QQ229" s="2076"/>
      <c r="QR229" s="2076"/>
      <c r="QS229" s="2076"/>
      <c r="QT229" s="2076"/>
      <c r="QU229" s="2076"/>
      <c r="QV229" s="2076"/>
      <c r="QW229" s="2076"/>
      <c r="QX229" s="2076"/>
      <c r="QY229" s="2076"/>
      <c r="QZ229" s="2076"/>
      <c r="RA229" s="2076"/>
      <c r="RB229" s="2076"/>
      <c r="RC229" s="2076"/>
      <c r="RD229" s="2076"/>
      <c r="RE229" s="2076"/>
      <c r="RF229" s="2076"/>
      <c r="RG229" s="2076"/>
      <c r="RH229" s="2076"/>
      <c r="RI229" s="2076"/>
      <c r="RJ229" s="2076"/>
      <c r="RK229" s="2076"/>
      <c r="RL229" s="2076"/>
      <c r="RM229" s="2076"/>
      <c r="RN229" s="2076"/>
      <c r="RO229" s="2076"/>
      <c r="RP229" s="2076"/>
      <c r="RQ229" s="2076"/>
      <c r="RR229" s="2076"/>
      <c r="RS229" s="2076"/>
      <c r="RT229" s="2076"/>
      <c r="RU229" s="2076"/>
      <c r="RV229" s="2076"/>
      <c r="RW229" s="2076"/>
      <c r="RX229" s="2076"/>
      <c r="RY229" s="2076"/>
      <c r="RZ229" s="2076"/>
      <c r="SA229" s="2076"/>
      <c r="SB229" s="2076"/>
      <c r="SC229" s="2076"/>
      <c r="SD229" s="2076"/>
      <c r="SE229" s="2076"/>
      <c r="SF229" s="2076"/>
      <c r="SG229" s="2076"/>
      <c r="SH229" s="2076"/>
      <c r="SI229" s="2076"/>
      <c r="SJ229" s="2076"/>
      <c r="SK229" s="2076"/>
      <c r="SL229" s="2076"/>
      <c r="SM229" s="2076"/>
      <c r="SN229" s="2076"/>
      <c r="SO229" s="2076"/>
      <c r="SP229" s="2076"/>
      <c r="SQ229" s="2076"/>
      <c r="SR229" s="2076"/>
      <c r="SS229" s="2076"/>
      <c r="ST229" s="2076"/>
      <c r="SU229" s="2076"/>
      <c r="SV229" s="2076"/>
      <c r="SW229" s="2076"/>
      <c r="SX229" s="2076"/>
      <c r="SY229" s="2076"/>
      <c r="SZ229" s="2076"/>
      <c r="TA229" s="2076"/>
      <c r="TB229" s="2076"/>
      <c r="TC229" s="2076"/>
      <c r="TD229" s="2076"/>
      <c r="TE229" s="2076"/>
      <c r="TF229" s="2076"/>
      <c r="TG229" s="2076"/>
      <c r="TH229" s="2076"/>
      <c r="TI229" s="2076"/>
      <c r="TJ229" s="2076"/>
      <c r="TK229" s="2076"/>
      <c r="TL229" s="2076"/>
      <c r="TM229" s="2076"/>
      <c r="TN229" s="2076"/>
      <c r="TO229" s="2076"/>
      <c r="TP229" s="2076"/>
      <c r="TQ229" s="2076"/>
      <c r="TR229" s="2076"/>
      <c r="TS229" s="2076"/>
      <c r="TT229" s="2076"/>
      <c r="TU229" s="2076"/>
      <c r="TV229" s="2076"/>
      <c r="TW229" s="2076"/>
      <c r="TX229" s="2076"/>
      <c r="TY229" s="2076"/>
      <c r="TZ229" s="2076"/>
      <c r="UA229" s="2076"/>
      <c r="UB229" s="2076"/>
      <c r="UC229" s="2076"/>
      <c r="UD229" s="2076"/>
      <c r="UE229" s="2076"/>
      <c r="UF229" s="2076"/>
      <c r="UG229" s="2076"/>
      <c r="UH229" s="2076"/>
      <c r="UI229" s="2076"/>
      <c r="UJ229" s="2076"/>
      <c r="UK229" s="2076"/>
      <c r="UL229" s="2076"/>
      <c r="UM229" s="2076"/>
      <c r="UN229" s="2076"/>
      <c r="UO229" s="2076"/>
      <c r="UP229" s="2076"/>
      <c r="UQ229" s="2076"/>
      <c r="UR229" s="2076"/>
      <c r="US229" s="2076"/>
      <c r="UT229" s="2076"/>
      <c r="UU229" s="2076"/>
      <c r="UV229" s="2076"/>
      <c r="UW229" s="2076"/>
      <c r="UX229" s="2076"/>
      <c r="UY229" s="2076"/>
      <c r="UZ229" s="2076"/>
      <c r="VA229" s="2076"/>
      <c r="VB229" s="2076"/>
      <c r="VC229" s="2076"/>
      <c r="VD229" s="2076"/>
      <c r="VE229" s="2076"/>
      <c r="VF229" s="2076"/>
      <c r="VG229" s="2076"/>
      <c r="VH229" s="2076"/>
      <c r="VI229" s="2076"/>
      <c r="VJ229" s="2076"/>
      <c r="VK229" s="2076"/>
      <c r="VL229" s="2076"/>
      <c r="VM229" s="2076"/>
      <c r="VN229" s="2076"/>
      <c r="VO229" s="2076"/>
      <c r="VP229" s="2076"/>
      <c r="VQ229" s="2076"/>
      <c r="VR229" s="2076"/>
      <c r="VS229" s="2076"/>
      <c r="VT229" s="2076"/>
      <c r="VU229" s="2076"/>
      <c r="VV229" s="2076"/>
      <c r="VW229" s="2076"/>
      <c r="VX229" s="2076"/>
      <c r="VY229" s="2076"/>
      <c r="VZ229" s="2076"/>
      <c r="WA229" s="2076"/>
      <c r="WB229" s="2076"/>
      <c r="WC229" s="2076"/>
      <c r="WD229" s="2076"/>
      <c r="WE229" s="2076"/>
      <c r="WF229" s="2076"/>
      <c r="WG229" s="2076"/>
      <c r="WH229" s="2076"/>
      <c r="WI229" s="2076"/>
      <c r="WJ229" s="2076"/>
      <c r="WK229" s="2076"/>
      <c r="WL229" s="2076"/>
      <c r="WM229" s="2076"/>
      <c r="WN229" s="2076"/>
      <c r="WO229" s="2076"/>
      <c r="WP229" s="2076"/>
      <c r="WQ229" s="2076"/>
      <c r="WR229" s="2076"/>
      <c r="WS229" s="2076"/>
      <c r="WT229" s="2076"/>
      <c r="WU229" s="2076"/>
      <c r="WV229" s="2076"/>
      <c r="WW229" s="2076"/>
      <c r="WX229" s="2076"/>
      <c r="WY229" s="2076"/>
      <c r="WZ229" s="2076"/>
      <c r="XA229" s="2076"/>
      <c r="XB229" s="2076"/>
      <c r="XC229" s="2076"/>
      <c r="XD229" s="2076"/>
      <c r="XE229" s="2076"/>
      <c r="XF229" s="2076"/>
      <c r="XG229" s="2076"/>
      <c r="XH229" s="2076"/>
      <c r="XI229" s="2076"/>
      <c r="XJ229" s="2076"/>
      <c r="XK229" s="2076"/>
      <c r="XL229" s="2076"/>
      <c r="XM229" s="2076"/>
      <c r="XN229" s="2076"/>
      <c r="XO229" s="2076"/>
      <c r="XP229" s="2076"/>
      <c r="XQ229" s="2076"/>
      <c r="XR229" s="2076"/>
      <c r="XS229" s="2076"/>
      <c r="XT229" s="2076"/>
      <c r="XU229" s="2076"/>
      <c r="XV229" s="2076"/>
      <c r="XW229" s="2076"/>
      <c r="XX229" s="2076"/>
      <c r="XY229" s="2076"/>
      <c r="XZ229" s="2076"/>
      <c r="YA229" s="2076"/>
      <c r="YB229" s="2076"/>
      <c r="YC229" s="2076"/>
      <c r="YD229" s="2076"/>
      <c r="YE229" s="2076"/>
      <c r="YF229" s="2076"/>
      <c r="YG229" s="2076"/>
      <c r="YH229" s="2076"/>
      <c r="YI229" s="2076"/>
      <c r="YJ229" s="2076"/>
      <c r="YK229" s="2076"/>
      <c r="YL229" s="2076"/>
      <c r="YM229" s="2076"/>
      <c r="YN229" s="2076"/>
      <c r="YO229" s="2076"/>
      <c r="YP229" s="2076"/>
      <c r="YQ229" s="2076"/>
      <c r="YR229" s="2076"/>
      <c r="YS229" s="2076"/>
      <c r="YT229" s="2076"/>
      <c r="YU229" s="2076"/>
      <c r="YV229" s="2076"/>
      <c r="YW229" s="2076"/>
      <c r="YX229" s="2076"/>
      <c r="YY229" s="2076"/>
      <c r="YZ229" s="2076"/>
      <c r="ZA229" s="2076"/>
      <c r="ZB229" s="2076"/>
      <c r="ZC229" s="2076"/>
      <c r="ZD229" s="2076"/>
      <c r="ZE229" s="2076"/>
      <c r="ZF229" s="2076"/>
      <c r="ZG229" s="2076"/>
      <c r="ZH229" s="2076"/>
      <c r="ZI229" s="2076"/>
      <c r="ZJ229" s="2076"/>
      <c r="ZK229" s="2076"/>
      <c r="ZL229" s="2076"/>
      <c r="ZM229" s="2076"/>
      <c r="ZN229" s="2076"/>
      <c r="ZO229" s="2076"/>
      <c r="ZP229" s="2076"/>
      <c r="ZQ229" s="2076"/>
      <c r="ZR229" s="2076"/>
      <c r="ZS229" s="2076"/>
      <c r="ZT229" s="2076"/>
      <c r="ZU229" s="2076"/>
      <c r="ZV229" s="2076"/>
      <c r="ZW229" s="2076"/>
      <c r="ZX229" s="2076"/>
      <c r="ZY229" s="2076"/>
      <c r="ZZ229" s="2076"/>
      <c r="AAA229" s="2076"/>
      <c r="AAB229" s="2076"/>
      <c r="AAC229" s="2076"/>
      <c r="AAD229" s="2076"/>
      <c r="AAE229" s="2076"/>
      <c r="AAF229" s="2076"/>
      <c r="AAG229" s="2076"/>
      <c r="AAH229" s="2076"/>
      <c r="AAI229" s="2076"/>
      <c r="AAJ229" s="2076"/>
      <c r="AAK229" s="2076"/>
      <c r="AAL229" s="2076"/>
      <c r="AAM229" s="2076"/>
      <c r="AAN229" s="2076"/>
      <c r="AAO229" s="2076"/>
      <c r="AAP229" s="2076"/>
      <c r="AAQ229" s="2076"/>
      <c r="AAR229" s="2076"/>
      <c r="AAS229" s="2076"/>
      <c r="AAT229" s="2076"/>
      <c r="AAU229" s="2076"/>
      <c r="AAV229" s="2076"/>
      <c r="AAW229" s="2076"/>
      <c r="AAX229" s="2076"/>
      <c r="AAY229" s="2076"/>
      <c r="AAZ229" s="2076"/>
      <c r="ABA229" s="2076"/>
      <c r="ABB229" s="2076"/>
      <c r="ABC229" s="2076"/>
      <c r="ABD229" s="2076"/>
      <c r="ABE229" s="2076"/>
      <c r="ABF229" s="2076"/>
      <c r="ABG229" s="2076"/>
      <c r="ABH229" s="2076"/>
      <c r="ABI229" s="2076"/>
      <c r="ABJ229" s="2076"/>
      <c r="ABK229" s="2076"/>
      <c r="ABL229" s="2076"/>
      <c r="ABM229" s="2076"/>
      <c r="ABN229" s="2076"/>
      <c r="ABO229" s="2076"/>
      <c r="ABP229" s="2076"/>
      <c r="ABQ229" s="2076"/>
      <c r="ABR229" s="2076"/>
      <c r="ABS229" s="2076"/>
      <c r="ABT229" s="2076"/>
      <c r="ABU229" s="2076"/>
      <c r="ABV229" s="2076"/>
      <c r="ABW229" s="2076"/>
      <c r="ABX229" s="2076"/>
      <c r="ABY229" s="2076"/>
      <c r="ABZ229" s="2076"/>
      <c r="ACA229" s="2076"/>
      <c r="ACB229" s="2076"/>
      <c r="ACC229" s="2076"/>
      <c r="ACD229" s="2076"/>
      <c r="ACE229" s="2076"/>
      <c r="ACF229" s="2076"/>
      <c r="ACG229" s="2076"/>
      <c r="ACH229" s="2076"/>
      <c r="ACI229" s="2076"/>
      <c r="ACJ229" s="2076"/>
      <c r="ACK229" s="2076"/>
      <c r="ACL229" s="2076"/>
      <c r="ACM229" s="2076"/>
      <c r="ACN229" s="2076"/>
      <c r="ACO229" s="2076"/>
      <c r="ACP229" s="2076"/>
      <c r="ACQ229" s="2076"/>
      <c r="ACR229" s="2076"/>
      <c r="ACS229" s="2076"/>
      <c r="ACT229" s="2076"/>
      <c r="ACU229" s="2076"/>
      <c r="ACV229" s="2076"/>
      <c r="ACW229" s="2076"/>
      <c r="ACX229" s="2076"/>
      <c r="ACY229" s="2076"/>
      <c r="ACZ229" s="2076"/>
      <c r="ADA229" s="2076"/>
      <c r="ADB229" s="2076"/>
      <c r="ADC229" s="2076"/>
      <c r="ADD229" s="2076"/>
      <c r="ADE229" s="2076"/>
      <c r="ADF229" s="2076"/>
      <c r="ADG229" s="2076"/>
      <c r="ADH229" s="2076"/>
      <c r="ADI229" s="2076"/>
      <c r="ADJ229" s="2076"/>
      <c r="ADK229" s="2076"/>
      <c r="ADL229" s="2076"/>
      <c r="ADM229" s="2076"/>
      <c r="ADN229" s="2076"/>
      <c r="ADO229" s="2076"/>
      <c r="ADP229" s="2076"/>
      <c r="ADQ229" s="2076"/>
      <c r="ADR229" s="2076"/>
      <c r="ADS229" s="2076"/>
      <c r="ADT229" s="2076"/>
      <c r="ADU229" s="2076"/>
      <c r="ADV229" s="2076"/>
      <c r="ADW229" s="2076"/>
      <c r="ADX229" s="2076"/>
      <c r="ADY229" s="2076"/>
      <c r="ADZ229" s="2076"/>
      <c r="AEA229" s="2076"/>
      <c r="AEB229" s="2076"/>
      <c r="AEC229" s="2076"/>
      <c r="AED229" s="2076"/>
      <c r="AEE229" s="2076"/>
      <c r="AEF229" s="2076"/>
      <c r="AEG229" s="2076"/>
      <c r="AEH229" s="2076"/>
      <c r="AEI229" s="2076"/>
      <c r="AEJ229" s="2076"/>
      <c r="AEK229" s="2076"/>
      <c r="AEL229" s="2076"/>
      <c r="AEM229" s="2076"/>
      <c r="AEN229" s="2076"/>
      <c r="AEO229" s="2076"/>
      <c r="AEP229" s="2076"/>
      <c r="AEQ229" s="2076"/>
      <c r="AER229" s="2076"/>
      <c r="AES229" s="2076"/>
      <c r="AET229" s="2076"/>
      <c r="AEU229" s="2076"/>
      <c r="AEV229" s="2076"/>
      <c r="AEW229" s="2076"/>
      <c r="AEX229" s="2076"/>
      <c r="AEY229" s="2076"/>
      <c r="AEZ229" s="2076"/>
      <c r="AFA229" s="2076"/>
      <c r="AFB229" s="2076"/>
      <c r="AFC229" s="2076"/>
      <c r="AFD229" s="2076"/>
      <c r="AFE229" s="2076"/>
      <c r="AFF229" s="2076"/>
      <c r="AFG229" s="2076"/>
      <c r="AFH229" s="2076"/>
      <c r="AFI229" s="2076"/>
      <c r="AFJ229" s="2076"/>
      <c r="AFK229" s="2076"/>
      <c r="AFL229" s="2076"/>
      <c r="AFM229" s="2076"/>
      <c r="AFN229" s="2076"/>
      <c r="AFO229" s="2076"/>
      <c r="AFP229" s="2076"/>
      <c r="AFQ229" s="2076"/>
      <c r="AFR229" s="2076"/>
      <c r="AFS229" s="2076"/>
      <c r="AFT229" s="2076"/>
      <c r="AFU229" s="2076"/>
      <c r="AFV229" s="2076"/>
      <c r="AFW229" s="2076"/>
      <c r="AFX229" s="2076"/>
      <c r="AFY229" s="2076"/>
      <c r="AFZ229" s="2076"/>
      <c r="AGA229" s="2076"/>
      <c r="AGB229" s="2076"/>
      <c r="AGC229" s="2076"/>
      <c r="AGD229" s="2076"/>
      <c r="AGE229" s="2076"/>
      <c r="AGF229" s="2076"/>
      <c r="AGG229" s="2076"/>
      <c r="AGH229" s="2076"/>
      <c r="AGI229" s="2076"/>
      <c r="AGJ229" s="2076"/>
      <c r="AGK229" s="2076"/>
      <c r="AGL229" s="2076"/>
      <c r="AGM229" s="2076"/>
      <c r="AGN229" s="2076"/>
      <c r="AGO229" s="2076"/>
      <c r="AGP229" s="2076"/>
      <c r="AGQ229" s="2076"/>
      <c r="AGR229" s="2076"/>
      <c r="AGS229" s="2076"/>
      <c r="AGT229" s="2076"/>
      <c r="AGU229" s="2076"/>
      <c r="AGV229" s="2076"/>
      <c r="AGW229" s="2076"/>
      <c r="AGX229" s="2076"/>
      <c r="AGY229" s="2076"/>
      <c r="AGZ229" s="2076"/>
      <c r="AHA229" s="2076"/>
      <c r="AHB229" s="2076"/>
      <c r="AHC229" s="2076"/>
      <c r="AHD229" s="2076"/>
      <c r="AHE229" s="2076"/>
      <c r="AHF229" s="2076"/>
      <c r="AHG229" s="2076"/>
      <c r="AHH229" s="2076"/>
      <c r="AHI229" s="2076"/>
      <c r="AHJ229" s="2076"/>
      <c r="AHK229" s="2076"/>
      <c r="AHL229" s="2076"/>
      <c r="AHM229" s="2076"/>
      <c r="AHN229" s="2076"/>
      <c r="AHO229" s="2076"/>
      <c r="AHP229" s="2076"/>
      <c r="AHQ229" s="2076"/>
      <c r="AHR229" s="2076"/>
      <c r="AHS229" s="2076"/>
      <c r="AHT229" s="2076"/>
      <c r="AHU229" s="2076"/>
      <c r="AHV229" s="2076"/>
      <c r="AHW229" s="2076"/>
      <c r="AHX229" s="2076"/>
      <c r="AHY229" s="2076"/>
      <c r="AHZ229" s="2076"/>
      <c r="AIA229" s="2076"/>
      <c r="AIB229" s="2076"/>
      <c r="AIC229" s="2076"/>
      <c r="AID229" s="2076"/>
      <c r="AIE229" s="2076"/>
      <c r="AIF229" s="2076"/>
      <c r="AIG229" s="2076"/>
      <c r="AIH229" s="2076"/>
      <c r="AII229" s="2076"/>
      <c r="AIJ229" s="2076"/>
      <c r="AIK229" s="2076"/>
      <c r="AIL229" s="2076"/>
      <c r="AIM229" s="2076"/>
      <c r="AIN229" s="2076"/>
      <c r="AIO229" s="2076"/>
      <c r="AIP229" s="2076"/>
      <c r="AIQ229" s="2076"/>
      <c r="AIR229" s="2076"/>
      <c r="AIS229" s="2076"/>
      <c r="AIT229" s="2076"/>
      <c r="AIU229" s="2076"/>
      <c r="AIV229" s="2076"/>
      <c r="AIW229" s="2076"/>
      <c r="AIX229" s="2076"/>
      <c r="AIY229" s="2076"/>
      <c r="AIZ229" s="2076"/>
      <c r="AJA229" s="2076"/>
      <c r="AJB229" s="2076"/>
      <c r="AJC229" s="2076"/>
      <c r="AJD229" s="2076"/>
      <c r="AJE229" s="2076"/>
      <c r="AJF229" s="2076"/>
      <c r="AJG229" s="2076"/>
      <c r="AJH229" s="2076"/>
      <c r="AJI229" s="2076"/>
      <c r="AJJ229" s="2076"/>
      <c r="AJK229" s="2076"/>
      <c r="AJL229" s="2076"/>
      <c r="AJM229" s="2076"/>
      <c r="AJN229" s="2076"/>
      <c r="AJO229" s="2076"/>
      <c r="AJP229" s="2076"/>
      <c r="AJQ229" s="2076"/>
      <c r="AJR229" s="2076"/>
      <c r="AJS229" s="2076"/>
      <c r="AJT229" s="2076"/>
      <c r="AJU229" s="2076"/>
      <c r="AJV229" s="2076"/>
      <c r="AJW229" s="2076"/>
      <c r="AJX229" s="2076"/>
      <c r="AJY229" s="2076"/>
      <c r="AJZ229" s="2076"/>
      <c r="AKA229" s="2076"/>
      <c r="AKB229" s="2076"/>
      <c r="AKC229" s="2076"/>
      <c r="AKD229" s="2076"/>
      <c r="AKE229" s="2076"/>
      <c r="AKF229" s="2076"/>
      <c r="AKG229" s="2076"/>
      <c r="AKH229" s="2076"/>
      <c r="AKI229" s="2076"/>
      <c r="AKJ229" s="2076"/>
      <c r="AKK229" s="2076"/>
      <c r="AKL229" s="2076"/>
      <c r="AKM229" s="2076"/>
      <c r="AKN229" s="2076"/>
      <c r="AKO229" s="2076"/>
      <c r="AKP229" s="2076"/>
      <c r="AKQ229" s="2076"/>
      <c r="AKR229" s="2076"/>
      <c r="AKS229" s="2076"/>
      <c r="AKT229" s="2076"/>
      <c r="AKU229" s="2076"/>
      <c r="AKV229" s="2076"/>
      <c r="AKW229" s="2076"/>
      <c r="AKX229" s="2076"/>
      <c r="AKY229" s="2076"/>
      <c r="AKZ229" s="2076"/>
      <c r="ALA229" s="2076"/>
      <c r="ALB229" s="2076"/>
      <c r="ALC229" s="2076"/>
      <c r="ALD229" s="2076"/>
      <c r="ALE229" s="2076"/>
      <c r="ALF229" s="2076"/>
      <c r="ALG229" s="2076"/>
      <c r="ALH229" s="2076"/>
      <c r="ALI229" s="2076"/>
      <c r="ALJ229" s="2076"/>
      <c r="ALK229" s="2076"/>
      <c r="ALL229" s="2076"/>
      <c r="ALM229" s="2076"/>
      <c r="ALN229" s="2076"/>
      <c r="ALO229" s="2076"/>
      <c r="ALP229" s="2076"/>
      <c r="ALQ229" s="2076"/>
      <c r="ALR229" s="2076"/>
      <c r="ALS229" s="2076"/>
      <c r="ALT229" s="2076"/>
      <c r="ALU229" s="2076"/>
      <c r="ALV229" s="2076"/>
      <c r="ALW229" s="2076"/>
      <c r="ALX229" s="2076"/>
      <c r="ALY229" s="2076"/>
      <c r="ALZ229" s="2076"/>
      <c r="AMA229" s="2076"/>
      <c r="AMB229" s="2076"/>
      <c r="AMC229" s="2076"/>
      <c r="AMD229" s="2076"/>
      <c r="AME229" s="2076"/>
      <c r="AMF229" s="2076"/>
      <c r="AMG229" s="2076"/>
      <c r="AMH229" s="2076"/>
      <c r="AMI229" s="2076"/>
      <c r="AMJ229" s="2076"/>
      <c r="AMK229" s="2076"/>
      <c r="AML229" s="2076"/>
      <c r="AMM229" s="2076"/>
      <c r="AMN229" s="2076"/>
      <c r="AMO229" s="2076"/>
      <c r="AMP229" s="2076"/>
      <c r="AMQ229" s="2076"/>
      <c r="AMR229" s="2076"/>
      <c r="AMS229" s="2076"/>
      <c r="AMT229" s="2076"/>
      <c r="AMU229" s="2076"/>
      <c r="AMV229" s="2076"/>
      <c r="AMW229" s="2076"/>
      <c r="AMX229" s="2076"/>
      <c r="AMY229" s="2076"/>
      <c r="AMZ229" s="2076"/>
      <c r="ANA229" s="2076"/>
      <c r="ANB229" s="2076"/>
      <c r="ANC229" s="2076"/>
      <c r="AND229" s="2076"/>
      <c r="ANE229" s="2076"/>
      <c r="ANF229" s="2076"/>
      <c r="ANG229" s="2076"/>
      <c r="ANH229" s="2076"/>
      <c r="ANI229" s="2076"/>
      <c r="ANJ229" s="2076"/>
      <c r="ANK229" s="2076"/>
      <c r="ANL229" s="2076"/>
      <c r="ANM229" s="2076"/>
      <c r="ANN229" s="2076"/>
      <c r="ANO229" s="2076"/>
      <c r="ANP229" s="2076"/>
      <c r="ANQ229" s="2076"/>
      <c r="ANR229" s="2076"/>
      <c r="ANS229" s="2076"/>
      <c r="ANT229" s="2076"/>
      <c r="ANU229" s="2076"/>
      <c r="ANV229" s="2076"/>
      <c r="ANW229" s="2076"/>
      <c r="ANX229" s="2076"/>
      <c r="ANY229" s="2076"/>
      <c r="ANZ229" s="2076"/>
      <c r="AOA229" s="2076"/>
      <c r="AOB229" s="2076"/>
      <c r="AOC229" s="2076"/>
      <c r="AOD229" s="2076"/>
      <c r="AOE229" s="2076"/>
      <c r="AOF229" s="2076"/>
      <c r="AOG229" s="2076"/>
      <c r="AOH229" s="2076"/>
      <c r="AOI229" s="2076"/>
      <c r="AOJ229" s="2076"/>
      <c r="AOK229" s="2076"/>
      <c r="AOL229" s="2076"/>
      <c r="AOM229" s="2076"/>
      <c r="AON229" s="2076"/>
      <c r="AOO229" s="2076"/>
      <c r="AOP229" s="2076"/>
      <c r="AOQ229" s="2076"/>
      <c r="AOR229" s="2076"/>
      <c r="AOS229" s="2076"/>
      <c r="AOT229" s="2076"/>
      <c r="AOU229" s="2076"/>
      <c r="AOV229" s="2076"/>
      <c r="AOW229" s="2076"/>
      <c r="AOX229" s="2076"/>
      <c r="AOY229" s="2076"/>
      <c r="AOZ229" s="2076"/>
      <c r="APA229" s="2076"/>
      <c r="APB229" s="2076"/>
      <c r="APC229" s="2076"/>
      <c r="APD229" s="2076"/>
      <c r="APE229" s="2076"/>
      <c r="APF229" s="2076"/>
      <c r="APG229" s="2076"/>
      <c r="APH229" s="2076"/>
      <c r="API229" s="2076"/>
      <c r="APJ229" s="2076"/>
      <c r="APK229" s="2076"/>
      <c r="APL229" s="2076"/>
      <c r="APM229" s="2076"/>
      <c r="APN229" s="2076"/>
      <c r="APO229" s="2076"/>
      <c r="APP229" s="2076"/>
      <c r="APQ229" s="2076"/>
      <c r="APR229" s="2076"/>
      <c r="APS229" s="2076"/>
      <c r="APT229" s="2076"/>
      <c r="APU229" s="2076"/>
      <c r="APV229" s="2076"/>
      <c r="APW229" s="2076"/>
      <c r="APX229" s="2076"/>
      <c r="APY229" s="2076"/>
      <c r="APZ229" s="2076"/>
      <c r="AQA229" s="2076"/>
      <c r="AQB229" s="2076"/>
      <c r="AQC229" s="2076"/>
      <c r="AQD229" s="2076"/>
      <c r="AQE229" s="2076"/>
      <c r="AQF229" s="2076"/>
      <c r="AQG229" s="2076"/>
      <c r="AQH229" s="2076"/>
      <c r="AQI229" s="2076"/>
      <c r="AQJ229" s="2076"/>
      <c r="AQK229" s="2076"/>
      <c r="AQL229" s="2076"/>
      <c r="AQM229" s="2076"/>
      <c r="AQN229" s="2076"/>
      <c r="AQO229" s="2076"/>
      <c r="AQP229" s="2076"/>
      <c r="AQQ229" s="2076"/>
      <c r="AQR229" s="2076"/>
      <c r="AQS229" s="2076"/>
      <c r="AQT229" s="2076"/>
      <c r="AQU229" s="2076"/>
      <c r="AQV229" s="2076"/>
      <c r="AQW229" s="2076"/>
      <c r="AQX229" s="2076"/>
      <c r="AQY229" s="2076"/>
      <c r="AQZ229" s="2076"/>
      <c r="ARA229" s="2076"/>
      <c r="ARB229" s="2076"/>
      <c r="ARC229" s="2076"/>
      <c r="ARD229" s="2076"/>
      <c r="ARE229" s="2076"/>
      <c r="ARF229" s="2076"/>
      <c r="ARG229" s="2076"/>
      <c r="ARH229" s="2076"/>
      <c r="ARI229" s="2076"/>
      <c r="ARJ229" s="2076"/>
      <c r="ARK229" s="2076"/>
      <c r="ARL229" s="2076"/>
      <c r="ARM229" s="2076"/>
      <c r="ARN229" s="2076"/>
      <c r="ARO229" s="2076"/>
      <c r="ARP229" s="2076"/>
      <c r="ARQ229" s="2076"/>
      <c r="ARR229" s="2076"/>
      <c r="ARS229" s="2076"/>
      <c r="ART229" s="2076"/>
      <c r="ARU229" s="2076"/>
      <c r="ARV229" s="2076"/>
      <c r="ARW229" s="2076"/>
      <c r="ARX229" s="2076"/>
      <c r="ARY229" s="2076"/>
      <c r="ARZ229" s="2076"/>
      <c r="ASA229" s="2076"/>
      <c r="ASB229" s="2076"/>
      <c r="ASC229" s="2076"/>
      <c r="ASD229" s="2076"/>
      <c r="ASE229" s="2076"/>
      <c r="ASF229" s="2076"/>
      <c r="ASG229" s="2076"/>
      <c r="ASH229" s="2076"/>
      <c r="ASI229" s="2076"/>
      <c r="ASJ229" s="2076"/>
      <c r="ASK229" s="2076"/>
      <c r="ASL229" s="2076"/>
      <c r="ASM229" s="2076"/>
      <c r="ASN229" s="2076"/>
      <c r="ASO229" s="2076"/>
      <c r="ASP229" s="2076"/>
      <c r="ASQ229" s="2076"/>
      <c r="ASR229" s="2076"/>
      <c r="ASS229" s="2076"/>
      <c r="AST229" s="2076"/>
      <c r="ASU229" s="2076"/>
      <c r="ASV229" s="2076"/>
      <c r="ASW229" s="2076"/>
      <c r="ASX229" s="2076"/>
      <c r="ASY229" s="2076"/>
      <c r="ASZ229" s="2076"/>
      <c r="ATA229" s="2076"/>
      <c r="ATB229" s="2076"/>
      <c r="ATC229" s="2076"/>
      <c r="ATD229" s="2076"/>
      <c r="ATE229" s="2076"/>
      <c r="ATF229" s="2076"/>
      <c r="ATG229" s="2076"/>
      <c r="ATH229" s="2076"/>
      <c r="ATI229" s="2076"/>
      <c r="ATJ229" s="2076"/>
      <c r="ATK229" s="2076"/>
      <c r="ATL229" s="2076"/>
      <c r="ATM229" s="2076"/>
      <c r="ATN229" s="2076"/>
      <c r="ATO229" s="2076"/>
      <c r="ATP229" s="2076"/>
      <c r="ATQ229" s="2076"/>
      <c r="ATR229" s="2076"/>
      <c r="ATS229" s="2076"/>
      <c r="ATT229" s="2076"/>
      <c r="ATU229" s="2076"/>
      <c r="ATV229" s="2076"/>
      <c r="ATW229" s="2076"/>
      <c r="ATX229" s="2076"/>
      <c r="ATY229" s="2076"/>
      <c r="ATZ229" s="2076"/>
      <c r="AUA229" s="2076"/>
      <c r="AUB229" s="2076"/>
      <c r="AUC229" s="2076"/>
      <c r="AUD229" s="2076"/>
      <c r="AUE229" s="2076"/>
      <c r="AUF229" s="2076"/>
      <c r="AUG229" s="2076"/>
      <c r="AUH229" s="2076"/>
      <c r="AUI229" s="2076"/>
      <c r="AUJ229" s="2076"/>
      <c r="AUK229" s="2076"/>
      <c r="AUL229" s="2076"/>
      <c r="AUM229" s="2076"/>
      <c r="AUN229" s="2076"/>
      <c r="AUO229" s="2076"/>
      <c r="AUP229" s="2076"/>
      <c r="AUQ229" s="2076"/>
      <c r="AUR229" s="2076"/>
      <c r="AUS229" s="2076"/>
      <c r="AUT229" s="2076"/>
      <c r="AUU229" s="2076"/>
      <c r="AUV229" s="2076"/>
      <c r="AUW229" s="2076"/>
      <c r="AUX229" s="2076"/>
      <c r="AUY229" s="2076"/>
      <c r="AUZ229" s="2076"/>
      <c r="AVA229" s="2076"/>
      <c r="AVB229" s="2076"/>
      <c r="AVC229" s="2076"/>
      <c r="AVD229" s="2076"/>
      <c r="AVE229" s="2076"/>
      <c r="AVF229" s="2076"/>
      <c r="AVG229" s="2076"/>
      <c r="AVH229" s="2076"/>
      <c r="AVI229" s="2076"/>
      <c r="AVJ229" s="2076"/>
      <c r="AVK229" s="2076"/>
      <c r="AVL229" s="2076"/>
      <c r="AVM229" s="2076"/>
      <c r="AVN229" s="2076"/>
      <c r="AVO229" s="2076"/>
      <c r="AVP229" s="2076"/>
      <c r="AVQ229" s="2076"/>
      <c r="AVR229" s="2076"/>
      <c r="AVS229" s="2076"/>
      <c r="AVT229" s="2076"/>
      <c r="AVU229" s="2076"/>
      <c r="AVV229" s="2076"/>
      <c r="AVW229" s="2076"/>
      <c r="AVX229" s="2076"/>
      <c r="AVY229" s="2076"/>
      <c r="AVZ229" s="2076"/>
      <c r="AWA229" s="2076"/>
      <c r="AWB229" s="2076"/>
      <c r="AWC229" s="2076"/>
      <c r="AWD229" s="2076"/>
      <c r="AWE229" s="2076"/>
      <c r="AWF229" s="2076"/>
      <c r="AWG229" s="2076"/>
      <c r="AWH229" s="2076"/>
      <c r="AWI229" s="2076"/>
      <c r="AWJ229" s="2076"/>
      <c r="AWK229" s="2076"/>
      <c r="AWL229" s="2076"/>
      <c r="AWM229" s="2076"/>
      <c r="AWN229" s="2076"/>
      <c r="AWO229" s="2076"/>
      <c r="AWP229" s="2076"/>
      <c r="AWQ229" s="2076"/>
      <c r="AWR229" s="2076"/>
      <c r="AWS229" s="2076"/>
      <c r="AWT229" s="2076"/>
      <c r="AWU229" s="2076"/>
      <c r="AWV229" s="2076"/>
      <c r="AWW229" s="2076"/>
      <c r="AWX229" s="2076"/>
      <c r="AWY229" s="2076"/>
      <c r="AWZ229" s="2076"/>
      <c r="AXA229" s="2076"/>
      <c r="AXB229" s="2076"/>
      <c r="AXC229" s="2076"/>
      <c r="AXD229" s="2076"/>
      <c r="AXE229" s="2076"/>
      <c r="AXF229" s="2076"/>
      <c r="AXG229" s="2076"/>
      <c r="AXH229" s="2076"/>
      <c r="AXI229" s="2076"/>
      <c r="AXJ229" s="2076"/>
    </row>
    <row r="230" spans="1:1310" s="2077" customFormat="1" ht="23.25" customHeight="1">
      <c r="A230" s="2092"/>
      <c r="B230" s="3238" t="s">
        <v>2376</v>
      </c>
      <c r="C230" s="3238"/>
      <c r="D230" s="3238"/>
      <c r="E230" s="3238"/>
      <c r="F230" s="2086"/>
      <c r="G230" s="3238" t="s">
        <v>2358</v>
      </c>
      <c r="H230" s="3238"/>
      <c r="I230" s="3238"/>
      <c r="J230" s="2086"/>
      <c r="K230" s="3238" t="s">
        <v>2377</v>
      </c>
      <c r="L230" s="3238"/>
      <c r="M230" s="3238"/>
      <c r="N230" s="2086"/>
      <c r="O230" s="3238" t="s">
        <v>2378</v>
      </c>
      <c r="P230" s="3238"/>
      <c r="Q230" s="2086"/>
      <c r="R230" s="755"/>
      <c r="S230" s="755"/>
      <c r="T230" s="755"/>
      <c r="U230" s="755"/>
      <c r="V230" s="755"/>
      <c r="W230" s="755"/>
      <c r="X230" s="755"/>
      <c r="Y230" s="755"/>
      <c r="Z230" s="755"/>
      <c r="AA230" s="755"/>
      <c r="AB230" s="755"/>
      <c r="AC230" s="755"/>
      <c r="AD230" s="2075"/>
      <c r="AE230" s="2075"/>
      <c r="AF230" s="2075"/>
      <c r="AG230" s="2075"/>
      <c r="AH230" s="2075"/>
      <c r="AI230" s="2075"/>
      <c r="AJ230" s="2075"/>
      <c r="AK230" s="2075"/>
      <c r="AL230" s="2075"/>
      <c r="AM230" s="2075"/>
      <c r="AN230" s="2075"/>
      <c r="AO230" s="2075"/>
      <c r="AP230" s="2075"/>
      <c r="AQ230" s="2075"/>
      <c r="AR230" s="2075"/>
      <c r="AS230" s="2075"/>
      <c r="AT230" s="2075"/>
      <c r="AU230" s="2075"/>
      <c r="AV230" s="2076"/>
      <c r="AW230" s="2076"/>
      <c r="AX230" s="2076"/>
      <c r="AY230" s="2076"/>
      <c r="AZ230" s="2076"/>
      <c r="BA230" s="2076"/>
      <c r="BB230" s="2076"/>
      <c r="BC230" s="2076"/>
      <c r="BD230" s="2076"/>
      <c r="BE230" s="2076"/>
      <c r="BF230" s="2076"/>
      <c r="BG230" s="2076"/>
      <c r="BH230" s="2076"/>
      <c r="BI230" s="2076"/>
      <c r="BJ230" s="2076"/>
      <c r="BK230" s="2076"/>
      <c r="BL230" s="2076"/>
      <c r="BM230" s="2076"/>
      <c r="BN230" s="2076"/>
      <c r="BO230" s="2076"/>
      <c r="BP230" s="2076"/>
      <c r="BQ230" s="2076"/>
      <c r="BR230" s="2076"/>
      <c r="BS230" s="2076"/>
      <c r="BT230" s="2076"/>
      <c r="BU230" s="2076"/>
      <c r="BV230" s="2076"/>
      <c r="BW230" s="2076"/>
      <c r="BX230" s="2076"/>
      <c r="BY230" s="2076"/>
      <c r="BZ230" s="2076"/>
      <c r="CA230" s="2076"/>
      <c r="CB230" s="2076"/>
      <c r="CC230" s="2076"/>
      <c r="CD230" s="2076"/>
      <c r="CE230" s="2076"/>
      <c r="CF230" s="2076"/>
      <c r="CG230" s="2076"/>
      <c r="CH230" s="2076"/>
      <c r="CI230" s="2076"/>
      <c r="CJ230" s="2076"/>
      <c r="CK230" s="2076"/>
      <c r="CL230" s="2076"/>
      <c r="CM230" s="2076"/>
      <c r="CN230" s="2076"/>
      <c r="CO230" s="2076"/>
      <c r="CP230" s="2076"/>
      <c r="CQ230" s="2076"/>
      <c r="CR230" s="2076"/>
      <c r="CS230" s="2076"/>
      <c r="CT230" s="2076"/>
      <c r="CU230" s="2076"/>
      <c r="CV230" s="2076"/>
      <c r="CW230" s="2076"/>
      <c r="CX230" s="2076"/>
      <c r="CY230" s="2076"/>
      <c r="CZ230" s="2076"/>
      <c r="DA230" s="2076"/>
      <c r="DB230" s="2076"/>
      <c r="DC230" s="2076"/>
      <c r="DD230" s="2076"/>
      <c r="DE230" s="2076"/>
      <c r="DF230" s="2076"/>
      <c r="DG230" s="2076"/>
      <c r="DH230" s="2076"/>
      <c r="DI230" s="2076"/>
      <c r="DJ230" s="2076"/>
      <c r="DK230" s="2076"/>
      <c r="DL230" s="2076"/>
      <c r="DM230" s="2076"/>
      <c r="DN230" s="2076"/>
      <c r="DO230" s="2076"/>
      <c r="DP230" s="2076"/>
      <c r="DQ230" s="2076"/>
      <c r="DR230" s="2076"/>
      <c r="DS230" s="2076"/>
      <c r="DT230" s="2076"/>
      <c r="DU230" s="2076"/>
      <c r="DV230" s="2076"/>
      <c r="DW230" s="2076"/>
      <c r="DX230" s="2076"/>
      <c r="DY230" s="2076"/>
      <c r="DZ230" s="2076"/>
      <c r="EA230" s="2076"/>
      <c r="EB230" s="2076"/>
      <c r="EC230" s="2076"/>
      <c r="ED230" s="2076"/>
      <c r="EE230" s="2076"/>
      <c r="EF230" s="2076"/>
      <c r="EG230" s="2076"/>
      <c r="EH230" s="2076"/>
      <c r="EI230" s="2076"/>
      <c r="EJ230" s="2076"/>
      <c r="EK230" s="2076"/>
      <c r="EL230" s="2076"/>
      <c r="EM230" s="2076"/>
      <c r="EN230" s="2076"/>
      <c r="EO230" s="2076"/>
      <c r="EP230" s="2076"/>
      <c r="EQ230" s="2076"/>
      <c r="ER230" s="2076"/>
      <c r="ES230" s="2076"/>
      <c r="ET230" s="2076"/>
      <c r="EU230" s="2076"/>
      <c r="EV230" s="2076"/>
      <c r="EW230" s="2076"/>
      <c r="EX230" s="2076"/>
      <c r="EY230" s="2076"/>
      <c r="EZ230" s="2076"/>
      <c r="FA230" s="2076"/>
      <c r="FB230" s="2076"/>
      <c r="FC230" s="2076"/>
      <c r="FD230" s="2076"/>
      <c r="FE230" s="2076"/>
      <c r="FF230" s="2076"/>
      <c r="FG230" s="2076"/>
      <c r="FH230" s="2076"/>
      <c r="FI230" s="2076"/>
      <c r="FJ230" s="2076"/>
      <c r="FK230" s="2076"/>
      <c r="FL230" s="2076"/>
      <c r="FM230" s="2076"/>
      <c r="FN230" s="2076"/>
      <c r="FO230" s="2076"/>
      <c r="FP230" s="2076"/>
      <c r="FQ230" s="2076"/>
      <c r="FR230" s="2076"/>
      <c r="FS230" s="2076"/>
      <c r="FT230" s="2076"/>
      <c r="FU230" s="2076"/>
      <c r="FV230" s="2076"/>
      <c r="FW230" s="2076"/>
      <c r="FX230" s="2076"/>
      <c r="FY230" s="2076"/>
      <c r="FZ230" s="2076"/>
      <c r="GA230" s="2076"/>
      <c r="GB230" s="2076"/>
      <c r="GC230" s="2076"/>
      <c r="GD230" s="2076"/>
      <c r="GE230" s="2076"/>
      <c r="GF230" s="2076"/>
      <c r="GG230" s="2076"/>
      <c r="GH230" s="2076"/>
      <c r="GI230" s="2076"/>
      <c r="GJ230" s="2076"/>
      <c r="GK230" s="2076"/>
      <c r="GL230" s="2076"/>
      <c r="GM230" s="2076"/>
      <c r="GN230" s="2076"/>
      <c r="GO230" s="2076"/>
      <c r="GP230" s="2076"/>
      <c r="GQ230" s="2076"/>
      <c r="GR230" s="2076"/>
      <c r="GS230" s="2076"/>
      <c r="GT230" s="2076"/>
      <c r="GU230" s="2076"/>
      <c r="GV230" s="2076"/>
      <c r="GW230" s="2076"/>
      <c r="GX230" s="2076"/>
      <c r="GY230" s="2076"/>
      <c r="GZ230" s="2076"/>
      <c r="HA230" s="2076"/>
      <c r="HB230" s="2076"/>
      <c r="HC230" s="2076"/>
      <c r="HD230" s="2076"/>
      <c r="HE230" s="2076"/>
      <c r="HF230" s="2076"/>
      <c r="HG230" s="2076"/>
      <c r="HH230" s="2076"/>
      <c r="HI230" s="2076"/>
      <c r="HJ230" s="2076"/>
      <c r="HK230" s="2076"/>
      <c r="HL230" s="2076"/>
      <c r="HM230" s="2076"/>
      <c r="HN230" s="2076"/>
      <c r="HO230" s="2076"/>
      <c r="HP230" s="2076"/>
      <c r="HQ230" s="2076"/>
      <c r="HR230" s="2076"/>
      <c r="HS230" s="2076"/>
      <c r="HT230" s="2076"/>
      <c r="HU230" s="2076"/>
      <c r="HV230" s="2076"/>
      <c r="HW230" s="2076"/>
      <c r="HX230" s="2076"/>
      <c r="HY230" s="2076"/>
      <c r="HZ230" s="2076"/>
      <c r="IA230" s="2076"/>
      <c r="IB230" s="2076"/>
      <c r="IC230" s="2076"/>
      <c r="ID230" s="2076"/>
      <c r="IE230" s="2076"/>
      <c r="IF230" s="2076"/>
      <c r="IG230" s="2076"/>
      <c r="IH230" s="2076"/>
      <c r="II230" s="2076"/>
      <c r="IJ230" s="2076"/>
      <c r="IK230" s="2076"/>
      <c r="IL230" s="2076"/>
      <c r="IM230" s="2076"/>
      <c r="IN230" s="2076"/>
      <c r="IO230" s="2076"/>
      <c r="IP230" s="2076"/>
      <c r="IQ230" s="2076"/>
      <c r="IR230" s="2076"/>
      <c r="IS230" s="2076"/>
      <c r="IT230" s="2076"/>
      <c r="IU230" s="2076"/>
      <c r="IV230" s="2076"/>
      <c r="IW230" s="2076"/>
      <c r="IX230" s="2076"/>
      <c r="IY230" s="2076"/>
      <c r="IZ230" s="2076"/>
      <c r="JA230" s="2076"/>
      <c r="JB230" s="2076"/>
      <c r="JC230" s="2076"/>
      <c r="JD230" s="2076"/>
      <c r="JE230" s="2076"/>
      <c r="JF230" s="2076"/>
      <c r="JG230" s="2076"/>
      <c r="JH230" s="2076"/>
      <c r="JI230" s="2076"/>
      <c r="JJ230" s="2076"/>
      <c r="JK230" s="2076"/>
      <c r="JL230" s="2076"/>
      <c r="JM230" s="2076"/>
      <c r="JN230" s="2076"/>
      <c r="JO230" s="2076"/>
      <c r="JP230" s="2076"/>
      <c r="JQ230" s="2076"/>
      <c r="JR230" s="2076"/>
      <c r="JS230" s="2076"/>
      <c r="JT230" s="2076"/>
      <c r="JU230" s="2076"/>
      <c r="JV230" s="2076"/>
      <c r="JW230" s="2076"/>
      <c r="JX230" s="2076"/>
      <c r="JY230" s="2076"/>
      <c r="JZ230" s="2076"/>
      <c r="KA230" s="2076"/>
      <c r="KB230" s="2076"/>
      <c r="KC230" s="2076"/>
      <c r="KD230" s="2076"/>
      <c r="KE230" s="2076"/>
      <c r="KF230" s="2076"/>
      <c r="KG230" s="2076"/>
      <c r="KH230" s="2076"/>
      <c r="KI230" s="2076"/>
      <c r="KJ230" s="2076"/>
      <c r="KK230" s="2076"/>
      <c r="KL230" s="2076"/>
      <c r="KM230" s="2076"/>
      <c r="KN230" s="2076"/>
      <c r="KO230" s="2076"/>
      <c r="KP230" s="2076"/>
      <c r="KQ230" s="2076"/>
      <c r="KR230" s="2076"/>
      <c r="KS230" s="2076"/>
      <c r="KT230" s="2076"/>
      <c r="KU230" s="2076"/>
      <c r="KV230" s="2076"/>
      <c r="KW230" s="2076"/>
      <c r="KX230" s="2076"/>
      <c r="KY230" s="2076"/>
      <c r="KZ230" s="2076"/>
      <c r="LA230" s="2076"/>
      <c r="LB230" s="2076"/>
      <c r="LC230" s="2076"/>
      <c r="LD230" s="2076"/>
      <c r="LE230" s="2076"/>
      <c r="LF230" s="2076"/>
      <c r="LG230" s="2076"/>
      <c r="LH230" s="2076"/>
      <c r="LI230" s="2076"/>
      <c r="LJ230" s="2076"/>
      <c r="LK230" s="2076"/>
      <c r="LL230" s="2076"/>
      <c r="LM230" s="2076"/>
      <c r="LN230" s="2076"/>
      <c r="LO230" s="2076"/>
      <c r="LP230" s="2076"/>
      <c r="LQ230" s="2076"/>
      <c r="LR230" s="2076"/>
      <c r="LS230" s="2076"/>
      <c r="LT230" s="2076"/>
      <c r="LU230" s="2076"/>
      <c r="LV230" s="2076"/>
      <c r="LW230" s="2076"/>
      <c r="LX230" s="2076"/>
      <c r="LY230" s="2076"/>
      <c r="LZ230" s="2076"/>
      <c r="MA230" s="2076"/>
      <c r="MB230" s="2076"/>
      <c r="MC230" s="2076"/>
      <c r="MD230" s="2076"/>
      <c r="ME230" s="2076"/>
      <c r="MF230" s="2076"/>
      <c r="MG230" s="2076"/>
      <c r="MH230" s="2076"/>
      <c r="MI230" s="2076"/>
      <c r="MJ230" s="2076"/>
      <c r="MK230" s="2076"/>
      <c r="ML230" s="2076"/>
      <c r="MM230" s="2076"/>
      <c r="MN230" s="2076"/>
      <c r="MO230" s="2076"/>
      <c r="MP230" s="2076"/>
      <c r="MQ230" s="2076"/>
      <c r="MR230" s="2076"/>
      <c r="MS230" s="2076"/>
      <c r="MT230" s="2076"/>
      <c r="MU230" s="2076"/>
      <c r="MV230" s="2076"/>
      <c r="MW230" s="2076"/>
      <c r="MX230" s="2076"/>
      <c r="MY230" s="2076"/>
      <c r="MZ230" s="2076"/>
      <c r="NA230" s="2076"/>
      <c r="NB230" s="2076"/>
      <c r="NC230" s="2076"/>
      <c r="ND230" s="2076"/>
      <c r="NE230" s="2076"/>
      <c r="NF230" s="2076"/>
      <c r="NG230" s="2076"/>
      <c r="NH230" s="2076"/>
      <c r="NI230" s="2076"/>
      <c r="NJ230" s="2076"/>
      <c r="NK230" s="2076"/>
      <c r="NL230" s="2076"/>
      <c r="NM230" s="2076"/>
      <c r="NN230" s="2076"/>
      <c r="NO230" s="2076"/>
      <c r="NP230" s="2076"/>
      <c r="NQ230" s="2076"/>
      <c r="NR230" s="2076"/>
      <c r="NS230" s="2076"/>
      <c r="NT230" s="2076"/>
      <c r="NU230" s="2076"/>
      <c r="NV230" s="2076"/>
      <c r="NW230" s="2076"/>
      <c r="NX230" s="2076"/>
      <c r="NY230" s="2076"/>
      <c r="NZ230" s="2076"/>
      <c r="OA230" s="2076"/>
      <c r="OB230" s="2076"/>
      <c r="OC230" s="2076"/>
      <c r="OD230" s="2076"/>
      <c r="OE230" s="2076"/>
      <c r="OF230" s="2076"/>
      <c r="OG230" s="2076"/>
      <c r="OH230" s="2076"/>
      <c r="OI230" s="2076"/>
      <c r="OJ230" s="2076"/>
      <c r="OK230" s="2076"/>
      <c r="OL230" s="2076"/>
      <c r="OM230" s="2076"/>
      <c r="ON230" s="2076"/>
      <c r="OO230" s="2076"/>
      <c r="OP230" s="2076"/>
      <c r="OQ230" s="2076"/>
      <c r="OR230" s="2076"/>
      <c r="OS230" s="2076"/>
      <c r="OT230" s="2076"/>
      <c r="OU230" s="2076"/>
      <c r="OV230" s="2076"/>
      <c r="OW230" s="2076"/>
      <c r="OX230" s="2076"/>
      <c r="OY230" s="2076"/>
      <c r="OZ230" s="2076"/>
      <c r="PA230" s="2076"/>
      <c r="PB230" s="2076"/>
      <c r="PC230" s="2076"/>
      <c r="PD230" s="2076"/>
      <c r="PE230" s="2076"/>
      <c r="PF230" s="2076"/>
      <c r="PG230" s="2076"/>
      <c r="PH230" s="2076"/>
      <c r="PI230" s="2076"/>
      <c r="PJ230" s="2076"/>
      <c r="PK230" s="2076"/>
      <c r="PL230" s="2076"/>
      <c r="PM230" s="2076"/>
      <c r="PN230" s="2076"/>
      <c r="PO230" s="2076"/>
      <c r="PP230" s="2076"/>
      <c r="PQ230" s="2076"/>
      <c r="PR230" s="2076"/>
      <c r="PS230" s="2076"/>
      <c r="PT230" s="2076"/>
      <c r="PU230" s="2076"/>
      <c r="PV230" s="2076"/>
      <c r="PW230" s="2076"/>
      <c r="PX230" s="2076"/>
      <c r="PY230" s="2076"/>
      <c r="PZ230" s="2076"/>
      <c r="QA230" s="2076"/>
      <c r="QB230" s="2076"/>
      <c r="QC230" s="2076"/>
      <c r="QD230" s="2076"/>
      <c r="QE230" s="2076"/>
      <c r="QF230" s="2076"/>
      <c r="QG230" s="2076"/>
      <c r="QH230" s="2076"/>
      <c r="QI230" s="2076"/>
      <c r="QJ230" s="2076"/>
      <c r="QK230" s="2076"/>
      <c r="QL230" s="2076"/>
      <c r="QM230" s="2076"/>
      <c r="QN230" s="2076"/>
      <c r="QO230" s="2076"/>
      <c r="QP230" s="2076"/>
      <c r="QQ230" s="2076"/>
      <c r="QR230" s="2076"/>
      <c r="QS230" s="2076"/>
      <c r="QT230" s="2076"/>
      <c r="QU230" s="2076"/>
      <c r="QV230" s="2076"/>
      <c r="QW230" s="2076"/>
      <c r="QX230" s="2076"/>
      <c r="QY230" s="2076"/>
      <c r="QZ230" s="2076"/>
      <c r="RA230" s="2076"/>
      <c r="RB230" s="2076"/>
      <c r="RC230" s="2076"/>
      <c r="RD230" s="2076"/>
      <c r="RE230" s="2076"/>
      <c r="RF230" s="2076"/>
      <c r="RG230" s="2076"/>
      <c r="RH230" s="2076"/>
      <c r="RI230" s="2076"/>
      <c r="RJ230" s="2076"/>
      <c r="RK230" s="2076"/>
      <c r="RL230" s="2076"/>
      <c r="RM230" s="2076"/>
      <c r="RN230" s="2076"/>
      <c r="RO230" s="2076"/>
      <c r="RP230" s="2076"/>
      <c r="RQ230" s="2076"/>
      <c r="RR230" s="2076"/>
      <c r="RS230" s="2076"/>
      <c r="RT230" s="2076"/>
      <c r="RU230" s="2076"/>
      <c r="RV230" s="2076"/>
      <c r="RW230" s="2076"/>
      <c r="RX230" s="2076"/>
      <c r="RY230" s="2076"/>
      <c r="RZ230" s="2076"/>
      <c r="SA230" s="2076"/>
      <c r="SB230" s="2076"/>
      <c r="SC230" s="2076"/>
      <c r="SD230" s="2076"/>
      <c r="SE230" s="2076"/>
      <c r="SF230" s="2076"/>
      <c r="SG230" s="2076"/>
      <c r="SH230" s="2076"/>
      <c r="SI230" s="2076"/>
      <c r="SJ230" s="2076"/>
      <c r="SK230" s="2076"/>
      <c r="SL230" s="2076"/>
      <c r="SM230" s="2076"/>
      <c r="SN230" s="2076"/>
      <c r="SO230" s="2076"/>
      <c r="SP230" s="2076"/>
      <c r="SQ230" s="2076"/>
      <c r="SR230" s="2076"/>
      <c r="SS230" s="2076"/>
      <c r="ST230" s="2076"/>
      <c r="SU230" s="2076"/>
      <c r="SV230" s="2076"/>
      <c r="SW230" s="2076"/>
      <c r="SX230" s="2076"/>
      <c r="SY230" s="2076"/>
      <c r="SZ230" s="2076"/>
      <c r="TA230" s="2076"/>
      <c r="TB230" s="2076"/>
      <c r="TC230" s="2076"/>
      <c r="TD230" s="2076"/>
      <c r="TE230" s="2076"/>
      <c r="TF230" s="2076"/>
      <c r="TG230" s="2076"/>
      <c r="TH230" s="2076"/>
      <c r="TI230" s="2076"/>
      <c r="TJ230" s="2076"/>
      <c r="TK230" s="2076"/>
      <c r="TL230" s="2076"/>
      <c r="TM230" s="2076"/>
      <c r="TN230" s="2076"/>
      <c r="TO230" s="2076"/>
      <c r="TP230" s="2076"/>
      <c r="TQ230" s="2076"/>
      <c r="TR230" s="2076"/>
      <c r="TS230" s="2076"/>
      <c r="TT230" s="2076"/>
      <c r="TU230" s="2076"/>
      <c r="TV230" s="2076"/>
      <c r="TW230" s="2076"/>
      <c r="TX230" s="2076"/>
      <c r="TY230" s="2076"/>
      <c r="TZ230" s="2076"/>
      <c r="UA230" s="2076"/>
      <c r="UB230" s="2076"/>
      <c r="UC230" s="2076"/>
      <c r="UD230" s="2076"/>
      <c r="UE230" s="2076"/>
      <c r="UF230" s="2076"/>
      <c r="UG230" s="2076"/>
      <c r="UH230" s="2076"/>
      <c r="UI230" s="2076"/>
      <c r="UJ230" s="2076"/>
      <c r="UK230" s="2076"/>
      <c r="UL230" s="2076"/>
      <c r="UM230" s="2076"/>
      <c r="UN230" s="2076"/>
      <c r="UO230" s="2076"/>
      <c r="UP230" s="2076"/>
      <c r="UQ230" s="2076"/>
      <c r="UR230" s="2076"/>
      <c r="US230" s="2076"/>
      <c r="UT230" s="2076"/>
      <c r="UU230" s="2076"/>
      <c r="UV230" s="2076"/>
      <c r="UW230" s="2076"/>
      <c r="UX230" s="2076"/>
      <c r="UY230" s="2076"/>
      <c r="UZ230" s="2076"/>
      <c r="VA230" s="2076"/>
      <c r="VB230" s="2076"/>
      <c r="VC230" s="2076"/>
      <c r="VD230" s="2076"/>
      <c r="VE230" s="2076"/>
      <c r="VF230" s="2076"/>
      <c r="VG230" s="2076"/>
      <c r="VH230" s="2076"/>
      <c r="VI230" s="2076"/>
      <c r="VJ230" s="2076"/>
      <c r="VK230" s="2076"/>
      <c r="VL230" s="2076"/>
      <c r="VM230" s="2076"/>
      <c r="VN230" s="2076"/>
      <c r="VO230" s="2076"/>
      <c r="VP230" s="2076"/>
      <c r="VQ230" s="2076"/>
      <c r="VR230" s="2076"/>
      <c r="VS230" s="2076"/>
      <c r="VT230" s="2076"/>
      <c r="VU230" s="2076"/>
      <c r="VV230" s="2076"/>
      <c r="VW230" s="2076"/>
      <c r="VX230" s="2076"/>
      <c r="VY230" s="2076"/>
      <c r="VZ230" s="2076"/>
      <c r="WA230" s="2076"/>
      <c r="WB230" s="2076"/>
      <c r="WC230" s="2076"/>
      <c r="WD230" s="2076"/>
      <c r="WE230" s="2076"/>
      <c r="WF230" s="2076"/>
      <c r="WG230" s="2076"/>
      <c r="WH230" s="2076"/>
      <c r="WI230" s="2076"/>
      <c r="WJ230" s="2076"/>
      <c r="WK230" s="2076"/>
      <c r="WL230" s="2076"/>
      <c r="WM230" s="2076"/>
      <c r="WN230" s="2076"/>
      <c r="WO230" s="2076"/>
      <c r="WP230" s="2076"/>
      <c r="WQ230" s="2076"/>
      <c r="WR230" s="2076"/>
      <c r="WS230" s="2076"/>
      <c r="WT230" s="2076"/>
      <c r="WU230" s="2076"/>
      <c r="WV230" s="2076"/>
      <c r="WW230" s="2076"/>
      <c r="WX230" s="2076"/>
      <c r="WY230" s="2076"/>
      <c r="WZ230" s="2076"/>
      <c r="XA230" s="2076"/>
      <c r="XB230" s="2076"/>
      <c r="XC230" s="2076"/>
      <c r="XD230" s="2076"/>
      <c r="XE230" s="2076"/>
      <c r="XF230" s="2076"/>
      <c r="XG230" s="2076"/>
      <c r="XH230" s="2076"/>
      <c r="XI230" s="2076"/>
      <c r="XJ230" s="2076"/>
      <c r="XK230" s="2076"/>
      <c r="XL230" s="2076"/>
      <c r="XM230" s="2076"/>
      <c r="XN230" s="2076"/>
      <c r="XO230" s="2076"/>
      <c r="XP230" s="2076"/>
      <c r="XQ230" s="2076"/>
      <c r="XR230" s="2076"/>
      <c r="XS230" s="2076"/>
      <c r="XT230" s="2076"/>
      <c r="XU230" s="2076"/>
      <c r="XV230" s="2076"/>
      <c r="XW230" s="2076"/>
      <c r="XX230" s="2076"/>
      <c r="XY230" s="2076"/>
      <c r="XZ230" s="2076"/>
      <c r="YA230" s="2076"/>
      <c r="YB230" s="2076"/>
      <c r="YC230" s="2076"/>
      <c r="YD230" s="2076"/>
      <c r="YE230" s="2076"/>
      <c r="YF230" s="2076"/>
      <c r="YG230" s="2076"/>
      <c r="YH230" s="2076"/>
      <c r="YI230" s="2076"/>
      <c r="YJ230" s="2076"/>
      <c r="YK230" s="2076"/>
      <c r="YL230" s="2076"/>
      <c r="YM230" s="2076"/>
      <c r="YN230" s="2076"/>
      <c r="YO230" s="2076"/>
      <c r="YP230" s="2076"/>
      <c r="YQ230" s="2076"/>
      <c r="YR230" s="2076"/>
      <c r="YS230" s="2076"/>
      <c r="YT230" s="2076"/>
      <c r="YU230" s="2076"/>
      <c r="YV230" s="2076"/>
      <c r="YW230" s="2076"/>
      <c r="YX230" s="2076"/>
      <c r="YY230" s="2076"/>
      <c r="YZ230" s="2076"/>
      <c r="ZA230" s="2076"/>
      <c r="ZB230" s="2076"/>
      <c r="ZC230" s="2076"/>
      <c r="ZD230" s="2076"/>
      <c r="ZE230" s="2076"/>
      <c r="ZF230" s="2076"/>
      <c r="ZG230" s="2076"/>
      <c r="ZH230" s="2076"/>
      <c r="ZI230" s="2076"/>
      <c r="ZJ230" s="2076"/>
      <c r="ZK230" s="2076"/>
      <c r="ZL230" s="2076"/>
      <c r="ZM230" s="2076"/>
      <c r="ZN230" s="2076"/>
      <c r="ZO230" s="2076"/>
      <c r="ZP230" s="2076"/>
      <c r="ZQ230" s="2076"/>
      <c r="ZR230" s="2076"/>
      <c r="ZS230" s="2076"/>
      <c r="ZT230" s="2076"/>
      <c r="ZU230" s="2076"/>
      <c r="ZV230" s="2076"/>
      <c r="ZW230" s="2076"/>
      <c r="ZX230" s="2076"/>
      <c r="ZY230" s="2076"/>
      <c r="ZZ230" s="2076"/>
      <c r="AAA230" s="2076"/>
      <c r="AAB230" s="2076"/>
      <c r="AAC230" s="2076"/>
      <c r="AAD230" s="2076"/>
      <c r="AAE230" s="2076"/>
      <c r="AAF230" s="2076"/>
      <c r="AAG230" s="2076"/>
      <c r="AAH230" s="2076"/>
      <c r="AAI230" s="2076"/>
      <c r="AAJ230" s="2076"/>
      <c r="AAK230" s="2076"/>
      <c r="AAL230" s="2076"/>
      <c r="AAM230" s="2076"/>
      <c r="AAN230" s="2076"/>
      <c r="AAO230" s="2076"/>
      <c r="AAP230" s="2076"/>
      <c r="AAQ230" s="2076"/>
      <c r="AAR230" s="2076"/>
      <c r="AAS230" s="2076"/>
      <c r="AAT230" s="2076"/>
      <c r="AAU230" s="2076"/>
      <c r="AAV230" s="2076"/>
      <c r="AAW230" s="2076"/>
      <c r="AAX230" s="2076"/>
      <c r="AAY230" s="2076"/>
      <c r="AAZ230" s="2076"/>
      <c r="ABA230" s="2076"/>
      <c r="ABB230" s="2076"/>
      <c r="ABC230" s="2076"/>
      <c r="ABD230" s="2076"/>
      <c r="ABE230" s="2076"/>
      <c r="ABF230" s="2076"/>
      <c r="ABG230" s="2076"/>
      <c r="ABH230" s="2076"/>
      <c r="ABI230" s="2076"/>
      <c r="ABJ230" s="2076"/>
      <c r="ABK230" s="2076"/>
      <c r="ABL230" s="2076"/>
      <c r="ABM230" s="2076"/>
      <c r="ABN230" s="2076"/>
      <c r="ABO230" s="2076"/>
      <c r="ABP230" s="2076"/>
      <c r="ABQ230" s="2076"/>
      <c r="ABR230" s="2076"/>
      <c r="ABS230" s="2076"/>
      <c r="ABT230" s="2076"/>
      <c r="ABU230" s="2076"/>
      <c r="ABV230" s="2076"/>
      <c r="ABW230" s="2076"/>
      <c r="ABX230" s="2076"/>
      <c r="ABY230" s="2076"/>
      <c r="ABZ230" s="2076"/>
      <c r="ACA230" s="2076"/>
      <c r="ACB230" s="2076"/>
      <c r="ACC230" s="2076"/>
      <c r="ACD230" s="2076"/>
      <c r="ACE230" s="2076"/>
      <c r="ACF230" s="2076"/>
      <c r="ACG230" s="2076"/>
      <c r="ACH230" s="2076"/>
      <c r="ACI230" s="2076"/>
      <c r="ACJ230" s="2076"/>
      <c r="ACK230" s="2076"/>
      <c r="ACL230" s="2076"/>
      <c r="ACM230" s="2076"/>
      <c r="ACN230" s="2076"/>
      <c r="ACO230" s="2076"/>
      <c r="ACP230" s="2076"/>
      <c r="ACQ230" s="2076"/>
      <c r="ACR230" s="2076"/>
      <c r="ACS230" s="2076"/>
      <c r="ACT230" s="2076"/>
      <c r="ACU230" s="2076"/>
      <c r="ACV230" s="2076"/>
      <c r="ACW230" s="2076"/>
      <c r="ACX230" s="2076"/>
      <c r="ACY230" s="2076"/>
      <c r="ACZ230" s="2076"/>
      <c r="ADA230" s="2076"/>
      <c r="ADB230" s="2076"/>
      <c r="ADC230" s="2076"/>
      <c r="ADD230" s="2076"/>
      <c r="ADE230" s="2076"/>
      <c r="ADF230" s="2076"/>
      <c r="ADG230" s="2076"/>
      <c r="ADH230" s="2076"/>
      <c r="ADI230" s="2076"/>
      <c r="ADJ230" s="2076"/>
      <c r="ADK230" s="2076"/>
      <c r="ADL230" s="2076"/>
      <c r="ADM230" s="2076"/>
      <c r="ADN230" s="2076"/>
      <c r="ADO230" s="2076"/>
      <c r="ADP230" s="2076"/>
      <c r="ADQ230" s="2076"/>
      <c r="ADR230" s="2076"/>
      <c r="ADS230" s="2076"/>
      <c r="ADT230" s="2076"/>
      <c r="ADU230" s="2076"/>
      <c r="ADV230" s="2076"/>
      <c r="ADW230" s="2076"/>
      <c r="ADX230" s="2076"/>
      <c r="ADY230" s="2076"/>
      <c r="ADZ230" s="2076"/>
      <c r="AEA230" s="2076"/>
      <c r="AEB230" s="2076"/>
      <c r="AEC230" s="2076"/>
      <c r="AED230" s="2076"/>
      <c r="AEE230" s="2076"/>
      <c r="AEF230" s="2076"/>
      <c r="AEG230" s="2076"/>
      <c r="AEH230" s="2076"/>
      <c r="AEI230" s="2076"/>
      <c r="AEJ230" s="2076"/>
      <c r="AEK230" s="2076"/>
      <c r="AEL230" s="2076"/>
      <c r="AEM230" s="2076"/>
      <c r="AEN230" s="2076"/>
      <c r="AEO230" s="2076"/>
      <c r="AEP230" s="2076"/>
      <c r="AEQ230" s="2076"/>
      <c r="AER230" s="2076"/>
      <c r="AES230" s="2076"/>
      <c r="AET230" s="2076"/>
      <c r="AEU230" s="2076"/>
      <c r="AEV230" s="2076"/>
      <c r="AEW230" s="2076"/>
      <c r="AEX230" s="2076"/>
      <c r="AEY230" s="2076"/>
      <c r="AEZ230" s="2076"/>
      <c r="AFA230" s="2076"/>
      <c r="AFB230" s="2076"/>
      <c r="AFC230" s="2076"/>
      <c r="AFD230" s="2076"/>
      <c r="AFE230" s="2076"/>
      <c r="AFF230" s="2076"/>
      <c r="AFG230" s="2076"/>
      <c r="AFH230" s="2076"/>
      <c r="AFI230" s="2076"/>
      <c r="AFJ230" s="2076"/>
      <c r="AFK230" s="2076"/>
      <c r="AFL230" s="2076"/>
      <c r="AFM230" s="2076"/>
      <c r="AFN230" s="2076"/>
      <c r="AFO230" s="2076"/>
      <c r="AFP230" s="2076"/>
      <c r="AFQ230" s="2076"/>
      <c r="AFR230" s="2076"/>
      <c r="AFS230" s="2076"/>
      <c r="AFT230" s="2076"/>
      <c r="AFU230" s="2076"/>
      <c r="AFV230" s="2076"/>
      <c r="AFW230" s="2076"/>
      <c r="AFX230" s="2076"/>
      <c r="AFY230" s="2076"/>
      <c r="AFZ230" s="2076"/>
      <c r="AGA230" s="2076"/>
      <c r="AGB230" s="2076"/>
      <c r="AGC230" s="2076"/>
      <c r="AGD230" s="2076"/>
      <c r="AGE230" s="2076"/>
      <c r="AGF230" s="2076"/>
      <c r="AGG230" s="2076"/>
      <c r="AGH230" s="2076"/>
      <c r="AGI230" s="2076"/>
      <c r="AGJ230" s="2076"/>
      <c r="AGK230" s="2076"/>
      <c r="AGL230" s="2076"/>
      <c r="AGM230" s="2076"/>
      <c r="AGN230" s="2076"/>
      <c r="AGO230" s="2076"/>
      <c r="AGP230" s="2076"/>
      <c r="AGQ230" s="2076"/>
      <c r="AGR230" s="2076"/>
      <c r="AGS230" s="2076"/>
      <c r="AGT230" s="2076"/>
      <c r="AGU230" s="2076"/>
      <c r="AGV230" s="2076"/>
      <c r="AGW230" s="2076"/>
      <c r="AGX230" s="2076"/>
      <c r="AGY230" s="2076"/>
      <c r="AGZ230" s="2076"/>
      <c r="AHA230" s="2076"/>
      <c r="AHB230" s="2076"/>
      <c r="AHC230" s="2076"/>
      <c r="AHD230" s="2076"/>
      <c r="AHE230" s="2076"/>
      <c r="AHF230" s="2076"/>
      <c r="AHG230" s="2076"/>
      <c r="AHH230" s="2076"/>
      <c r="AHI230" s="2076"/>
      <c r="AHJ230" s="2076"/>
      <c r="AHK230" s="2076"/>
      <c r="AHL230" s="2076"/>
      <c r="AHM230" s="2076"/>
      <c r="AHN230" s="2076"/>
      <c r="AHO230" s="2076"/>
      <c r="AHP230" s="2076"/>
      <c r="AHQ230" s="2076"/>
      <c r="AHR230" s="2076"/>
      <c r="AHS230" s="2076"/>
      <c r="AHT230" s="2076"/>
      <c r="AHU230" s="2076"/>
      <c r="AHV230" s="2076"/>
      <c r="AHW230" s="2076"/>
      <c r="AHX230" s="2076"/>
      <c r="AHY230" s="2076"/>
      <c r="AHZ230" s="2076"/>
      <c r="AIA230" s="2076"/>
      <c r="AIB230" s="2076"/>
      <c r="AIC230" s="2076"/>
      <c r="AID230" s="2076"/>
      <c r="AIE230" s="2076"/>
      <c r="AIF230" s="2076"/>
      <c r="AIG230" s="2076"/>
      <c r="AIH230" s="2076"/>
      <c r="AII230" s="2076"/>
      <c r="AIJ230" s="2076"/>
      <c r="AIK230" s="2076"/>
      <c r="AIL230" s="2076"/>
      <c r="AIM230" s="2076"/>
      <c r="AIN230" s="2076"/>
      <c r="AIO230" s="2076"/>
      <c r="AIP230" s="2076"/>
      <c r="AIQ230" s="2076"/>
      <c r="AIR230" s="2076"/>
      <c r="AIS230" s="2076"/>
      <c r="AIT230" s="2076"/>
      <c r="AIU230" s="2076"/>
      <c r="AIV230" s="2076"/>
      <c r="AIW230" s="2076"/>
      <c r="AIX230" s="2076"/>
      <c r="AIY230" s="2076"/>
      <c r="AIZ230" s="2076"/>
      <c r="AJA230" s="2076"/>
      <c r="AJB230" s="2076"/>
      <c r="AJC230" s="2076"/>
      <c r="AJD230" s="2076"/>
      <c r="AJE230" s="2076"/>
      <c r="AJF230" s="2076"/>
      <c r="AJG230" s="2076"/>
      <c r="AJH230" s="2076"/>
      <c r="AJI230" s="2076"/>
      <c r="AJJ230" s="2076"/>
      <c r="AJK230" s="2076"/>
      <c r="AJL230" s="2076"/>
      <c r="AJM230" s="2076"/>
      <c r="AJN230" s="2076"/>
      <c r="AJO230" s="2076"/>
      <c r="AJP230" s="2076"/>
      <c r="AJQ230" s="2076"/>
      <c r="AJR230" s="2076"/>
      <c r="AJS230" s="2076"/>
      <c r="AJT230" s="2076"/>
      <c r="AJU230" s="2076"/>
      <c r="AJV230" s="2076"/>
      <c r="AJW230" s="2076"/>
      <c r="AJX230" s="2076"/>
      <c r="AJY230" s="2076"/>
      <c r="AJZ230" s="2076"/>
      <c r="AKA230" s="2076"/>
      <c r="AKB230" s="2076"/>
      <c r="AKC230" s="2076"/>
      <c r="AKD230" s="2076"/>
      <c r="AKE230" s="2076"/>
      <c r="AKF230" s="2076"/>
      <c r="AKG230" s="2076"/>
      <c r="AKH230" s="2076"/>
      <c r="AKI230" s="2076"/>
      <c r="AKJ230" s="2076"/>
      <c r="AKK230" s="2076"/>
      <c r="AKL230" s="2076"/>
      <c r="AKM230" s="2076"/>
      <c r="AKN230" s="2076"/>
      <c r="AKO230" s="2076"/>
      <c r="AKP230" s="2076"/>
      <c r="AKQ230" s="2076"/>
      <c r="AKR230" s="2076"/>
      <c r="AKS230" s="2076"/>
      <c r="AKT230" s="2076"/>
      <c r="AKU230" s="2076"/>
      <c r="AKV230" s="2076"/>
      <c r="AKW230" s="2076"/>
      <c r="AKX230" s="2076"/>
      <c r="AKY230" s="2076"/>
      <c r="AKZ230" s="2076"/>
      <c r="ALA230" s="2076"/>
      <c r="ALB230" s="2076"/>
      <c r="ALC230" s="2076"/>
      <c r="ALD230" s="2076"/>
      <c r="ALE230" s="2076"/>
      <c r="ALF230" s="2076"/>
      <c r="ALG230" s="2076"/>
      <c r="ALH230" s="2076"/>
      <c r="ALI230" s="2076"/>
      <c r="ALJ230" s="2076"/>
      <c r="ALK230" s="2076"/>
      <c r="ALL230" s="2076"/>
      <c r="ALM230" s="2076"/>
      <c r="ALN230" s="2076"/>
      <c r="ALO230" s="2076"/>
      <c r="ALP230" s="2076"/>
      <c r="ALQ230" s="2076"/>
      <c r="ALR230" s="2076"/>
      <c r="ALS230" s="2076"/>
      <c r="ALT230" s="2076"/>
      <c r="ALU230" s="2076"/>
      <c r="ALV230" s="2076"/>
      <c r="ALW230" s="2076"/>
      <c r="ALX230" s="2076"/>
      <c r="ALY230" s="2076"/>
      <c r="ALZ230" s="2076"/>
      <c r="AMA230" s="2076"/>
      <c r="AMB230" s="2076"/>
      <c r="AMC230" s="2076"/>
      <c r="AMD230" s="2076"/>
      <c r="AME230" s="2076"/>
      <c r="AMF230" s="2076"/>
      <c r="AMG230" s="2076"/>
      <c r="AMH230" s="2076"/>
      <c r="AMI230" s="2076"/>
      <c r="AMJ230" s="2076"/>
      <c r="AMK230" s="2076"/>
      <c r="AML230" s="2076"/>
      <c r="AMM230" s="2076"/>
      <c r="AMN230" s="2076"/>
      <c r="AMO230" s="2076"/>
      <c r="AMP230" s="2076"/>
      <c r="AMQ230" s="2076"/>
      <c r="AMR230" s="2076"/>
      <c r="AMS230" s="2076"/>
      <c r="AMT230" s="2076"/>
      <c r="AMU230" s="2076"/>
      <c r="AMV230" s="2076"/>
      <c r="AMW230" s="2076"/>
      <c r="AMX230" s="2076"/>
      <c r="AMY230" s="2076"/>
      <c r="AMZ230" s="2076"/>
      <c r="ANA230" s="2076"/>
      <c r="ANB230" s="2076"/>
      <c r="ANC230" s="2076"/>
      <c r="AND230" s="2076"/>
      <c r="ANE230" s="2076"/>
      <c r="ANF230" s="2076"/>
      <c r="ANG230" s="2076"/>
      <c r="ANH230" s="2076"/>
      <c r="ANI230" s="2076"/>
      <c r="ANJ230" s="2076"/>
      <c r="ANK230" s="2076"/>
      <c r="ANL230" s="2076"/>
      <c r="ANM230" s="2076"/>
      <c r="ANN230" s="2076"/>
      <c r="ANO230" s="2076"/>
      <c r="ANP230" s="2076"/>
      <c r="ANQ230" s="2076"/>
      <c r="ANR230" s="2076"/>
      <c r="ANS230" s="2076"/>
      <c r="ANT230" s="2076"/>
      <c r="ANU230" s="2076"/>
      <c r="ANV230" s="2076"/>
      <c r="ANW230" s="2076"/>
      <c r="ANX230" s="2076"/>
      <c r="ANY230" s="2076"/>
      <c r="ANZ230" s="2076"/>
      <c r="AOA230" s="2076"/>
      <c r="AOB230" s="2076"/>
      <c r="AOC230" s="2076"/>
      <c r="AOD230" s="2076"/>
      <c r="AOE230" s="2076"/>
      <c r="AOF230" s="2076"/>
      <c r="AOG230" s="2076"/>
      <c r="AOH230" s="2076"/>
      <c r="AOI230" s="2076"/>
      <c r="AOJ230" s="2076"/>
      <c r="AOK230" s="2076"/>
      <c r="AOL230" s="2076"/>
      <c r="AOM230" s="2076"/>
      <c r="AON230" s="2076"/>
      <c r="AOO230" s="2076"/>
      <c r="AOP230" s="2076"/>
      <c r="AOQ230" s="2076"/>
      <c r="AOR230" s="2076"/>
      <c r="AOS230" s="2076"/>
      <c r="AOT230" s="2076"/>
      <c r="AOU230" s="2076"/>
      <c r="AOV230" s="2076"/>
      <c r="AOW230" s="2076"/>
      <c r="AOX230" s="2076"/>
      <c r="AOY230" s="2076"/>
      <c r="AOZ230" s="2076"/>
      <c r="APA230" s="2076"/>
      <c r="APB230" s="2076"/>
      <c r="APC230" s="2076"/>
      <c r="APD230" s="2076"/>
      <c r="APE230" s="2076"/>
      <c r="APF230" s="2076"/>
      <c r="APG230" s="2076"/>
      <c r="APH230" s="2076"/>
      <c r="API230" s="2076"/>
      <c r="APJ230" s="2076"/>
      <c r="APK230" s="2076"/>
      <c r="APL230" s="2076"/>
      <c r="APM230" s="2076"/>
      <c r="APN230" s="2076"/>
      <c r="APO230" s="2076"/>
      <c r="APP230" s="2076"/>
      <c r="APQ230" s="2076"/>
      <c r="APR230" s="2076"/>
      <c r="APS230" s="2076"/>
      <c r="APT230" s="2076"/>
      <c r="APU230" s="2076"/>
      <c r="APV230" s="2076"/>
      <c r="APW230" s="2076"/>
      <c r="APX230" s="2076"/>
      <c r="APY230" s="2076"/>
      <c r="APZ230" s="2076"/>
      <c r="AQA230" s="2076"/>
      <c r="AQB230" s="2076"/>
      <c r="AQC230" s="2076"/>
      <c r="AQD230" s="2076"/>
      <c r="AQE230" s="2076"/>
      <c r="AQF230" s="2076"/>
      <c r="AQG230" s="2076"/>
      <c r="AQH230" s="2076"/>
      <c r="AQI230" s="2076"/>
      <c r="AQJ230" s="2076"/>
      <c r="AQK230" s="2076"/>
      <c r="AQL230" s="2076"/>
      <c r="AQM230" s="2076"/>
      <c r="AQN230" s="2076"/>
      <c r="AQO230" s="2076"/>
      <c r="AQP230" s="2076"/>
      <c r="AQQ230" s="2076"/>
      <c r="AQR230" s="2076"/>
      <c r="AQS230" s="2076"/>
      <c r="AQT230" s="2076"/>
      <c r="AQU230" s="2076"/>
      <c r="AQV230" s="2076"/>
      <c r="AQW230" s="2076"/>
      <c r="AQX230" s="2076"/>
      <c r="AQY230" s="2076"/>
      <c r="AQZ230" s="2076"/>
      <c r="ARA230" s="2076"/>
      <c r="ARB230" s="2076"/>
      <c r="ARC230" s="2076"/>
      <c r="ARD230" s="2076"/>
      <c r="ARE230" s="2076"/>
      <c r="ARF230" s="2076"/>
      <c r="ARG230" s="2076"/>
      <c r="ARH230" s="2076"/>
      <c r="ARI230" s="2076"/>
      <c r="ARJ230" s="2076"/>
      <c r="ARK230" s="2076"/>
      <c r="ARL230" s="2076"/>
      <c r="ARM230" s="2076"/>
      <c r="ARN230" s="2076"/>
      <c r="ARO230" s="2076"/>
      <c r="ARP230" s="2076"/>
      <c r="ARQ230" s="2076"/>
      <c r="ARR230" s="2076"/>
      <c r="ARS230" s="2076"/>
      <c r="ART230" s="2076"/>
      <c r="ARU230" s="2076"/>
      <c r="ARV230" s="2076"/>
      <c r="ARW230" s="2076"/>
      <c r="ARX230" s="2076"/>
      <c r="ARY230" s="2076"/>
      <c r="ARZ230" s="2076"/>
      <c r="ASA230" s="2076"/>
      <c r="ASB230" s="2076"/>
      <c r="ASC230" s="2076"/>
      <c r="ASD230" s="2076"/>
      <c r="ASE230" s="2076"/>
      <c r="ASF230" s="2076"/>
      <c r="ASG230" s="2076"/>
      <c r="ASH230" s="2076"/>
      <c r="ASI230" s="2076"/>
      <c r="ASJ230" s="2076"/>
      <c r="ASK230" s="2076"/>
      <c r="ASL230" s="2076"/>
      <c r="ASM230" s="2076"/>
      <c r="ASN230" s="2076"/>
      <c r="ASO230" s="2076"/>
      <c r="ASP230" s="2076"/>
      <c r="ASQ230" s="2076"/>
      <c r="ASR230" s="2076"/>
      <c r="ASS230" s="2076"/>
      <c r="AST230" s="2076"/>
      <c r="ASU230" s="2076"/>
      <c r="ASV230" s="2076"/>
      <c r="ASW230" s="2076"/>
      <c r="ASX230" s="2076"/>
      <c r="ASY230" s="2076"/>
      <c r="ASZ230" s="2076"/>
      <c r="ATA230" s="2076"/>
      <c r="ATB230" s="2076"/>
      <c r="ATC230" s="2076"/>
      <c r="ATD230" s="2076"/>
      <c r="ATE230" s="2076"/>
      <c r="ATF230" s="2076"/>
      <c r="ATG230" s="2076"/>
      <c r="ATH230" s="2076"/>
      <c r="ATI230" s="2076"/>
      <c r="ATJ230" s="2076"/>
      <c r="ATK230" s="2076"/>
      <c r="ATL230" s="2076"/>
      <c r="ATM230" s="2076"/>
      <c r="ATN230" s="2076"/>
      <c r="ATO230" s="2076"/>
      <c r="ATP230" s="2076"/>
      <c r="ATQ230" s="2076"/>
      <c r="ATR230" s="2076"/>
      <c r="ATS230" s="2076"/>
      <c r="ATT230" s="2076"/>
      <c r="ATU230" s="2076"/>
      <c r="ATV230" s="2076"/>
      <c r="ATW230" s="2076"/>
      <c r="ATX230" s="2076"/>
      <c r="ATY230" s="2076"/>
      <c r="ATZ230" s="2076"/>
      <c r="AUA230" s="2076"/>
      <c r="AUB230" s="2076"/>
      <c r="AUC230" s="2076"/>
      <c r="AUD230" s="2076"/>
      <c r="AUE230" s="2076"/>
      <c r="AUF230" s="2076"/>
      <c r="AUG230" s="2076"/>
      <c r="AUH230" s="2076"/>
      <c r="AUI230" s="2076"/>
      <c r="AUJ230" s="2076"/>
      <c r="AUK230" s="2076"/>
      <c r="AUL230" s="2076"/>
      <c r="AUM230" s="2076"/>
      <c r="AUN230" s="2076"/>
      <c r="AUO230" s="2076"/>
      <c r="AUP230" s="2076"/>
      <c r="AUQ230" s="2076"/>
      <c r="AUR230" s="2076"/>
      <c r="AUS230" s="2076"/>
      <c r="AUT230" s="2076"/>
      <c r="AUU230" s="2076"/>
      <c r="AUV230" s="2076"/>
      <c r="AUW230" s="2076"/>
      <c r="AUX230" s="2076"/>
      <c r="AUY230" s="2076"/>
      <c r="AUZ230" s="2076"/>
      <c r="AVA230" s="2076"/>
      <c r="AVB230" s="2076"/>
      <c r="AVC230" s="2076"/>
      <c r="AVD230" s="2076"/>
      <c r="AVE230" s="2076"/>
      <c r="AVF230" s="2076"/>
      <c r="AVG230" s="2076"/>
      <c r="AVH230" s="2076"/>
      <c r="AVI230" s="2076"/>
      <c r="AVJ230" s="2076"/>
      <c r="AVK230" s="2076"/>
      <c r="AVL230" s="2076"/>
      <c r="AVM230" s="2076"/>
      <c r="AVN230" s="2076"/>
      <c r="AVO230" s="2076"/>
      <c r="AVP230" s="2076"/>
      <c r="AVQ230" s="2076"/>
      <c r="AVR230" s="2076"/>
      <c r="AVS230" s="2076"/>
      <c r="AVT230" s="2076"/>
      <c r="AVU230" s="2076"/>
      <c r="AVV230" s="2076"/>
      <c r="AVW230" s="2076"/>
      <c r="AVX230" s="2076"/>
      <c r="AVY230" s="2076"/>
      <c r="AVZ230" s="2076"/>
      <c r="AWA230" s="2076"/>
      <c r="AWB230" s="2076"/>
      <c r="AWC230" s="2076"/>
      <c r="AWD230" s="2076"/>
      <c r="AWE230" s="2076"/>
      <c r="AWF230" s="2076"/>
      <c r="AWG230" s="2076"/>
      <c r="AWH230" s="2076"/>
      <c r="AWI230" s="2076"/>
      <c r="AWJ230" s="2076"/>
      <c r="AWK230" s="2076"/>
      <c r="AWL230" s="2076"/>
      <c r="AWM230" s="2076"/>
      <c r="AWN230" s="2076"/>
      <c r="AWO230" s="2076"/>
      <c r="AWP230" s="2076"/>
      <c r="AWQ230" s="2076"/>
      <c r="AWR230" s="2076"/>
      <c r="AWS230" s="2076"/>
      <c r="AWT230" s="2076"/>
      <c r="AWU230" s="2076"/>
      <c r="AWV230" s="2076"/>
      <c r="AWW230" s="2076"/>
      <c r="AWX230" s="2076"/>
      <c r="AWY230" s="2076"/>
      <c r="AWZ230" s="2076"/>
      <c r="AXA230" s="2076"/>
      <c r="AXB230" s="2076"/>
      <c r="AXC230" s="2076"/>
      <c r="AXD230" s="2076"/>
      <c r="AXE230" s="2076"/>
      <c r="AXF230" s="2076"/>
      <c r="AXG230" s="2076"/>
      <c r="AXH230" s="2076"/>
      <c r="AXI230" s="2076"/>
      <c r="AXJ230" s="2076"/>
    </row>
    <row r="231" spans="1:1310" s="2077" customFormat="1" ht="23.25" customHeight="1">
      <c r="A231" s="2092"/>
      <c r="B231" s="3238" t="s">
        <v>2379</v>
      </c>
      <c r="C231" s="3238"/>
      <c r="D231" s="3238"/>
      <c r="E231" s="3238"/>
      <c r="F231" s="2086"/>
      <c r="G231" s="3238" t="s">
        <v>2380</v>
      </c>
      <c r="H231" s="3238"/>
      <c r="I231" s="3238"/>
      <c r="J231" s="2086"/>
      <c r="K231" s="3238" t="s">
        <v>2381</v>
      </c>
      <c r="L231" s="3238"/>
      <c r="M231" s="3238"/>
      <c r="N231" s="2086"/>
      <c r="O231" s="3238" t="s">
        <v>2378</v>
      </c>
      <c r="P231" s="3238"/>
      <c r="Q231" s="2086"/>
      <c r="R231" s="755"/>
      <c r="S231" s="755"/>
      <c r="T231" s="755"/>
      <c r="U231" s="755"/>
      <c r="V231" s="755"/>
      <c r="W231" s="755"/>
      <c r="X231" s="755"/>
      <c r="Y231" s="755"/>
      <c r="Z231" s="755"/>
      <c r="AA231" s="755"/>
      <c r="AB231" s="755"/>
      <c r="AC231" s="755"/>
      <c r="AD231" s="2075"/>
      <c r="AE231" s="2075"/>
      <c r="AF231" s="2075"/>
      <c r="AG231" s="2075"/>
      <c r="AH231" s="2075"/>
      <c r="AI231" s="2075"/>
      <c r="AJ231" s="2075"/>
      <c r="AK231" s="2075"/>
      <c r="AL231" s="2075"/>
      <c r="AM231" s="2075"/>
      <c r="AN231" s="2075"/>
      <c r="AO231" s="2075"/>
      <c r="AP231" s="2075"/>
      <c r="AQ231" s="2075"/>
      <c r="AR231" s="2075"/>
      <c r="AS231" s="2075"/>
      <c r="AT231" s="2075"/>
      <c r="AU231" s="2075"/>
      <c r="AV231" s="2076"/>
      <c r="AW231" s="2076"/>
      <c r="AX231" s="2076"/>
      <c r="AY231" s="2076"/>
      <c r="AZ231" s="2076"/>
      <c r="BA231" s="2076"/>
      <c r="BB231" s="2076"/>
      <c r="BC231" s="2076"/>
      <c r="BD231" s="2076"/>
      <c r="BE231" s="2076"/>
      <c r="BF231" s="2076"/>
      <c r="BG231" s="2076"/>
      <c r="BH231" s="2076"/>
      <c r="BI231" s="2076"/>
      <c r="BJ231" s="2076"/>
      <c r="BK231" s="2076"/>
      <c r="BL231" s="2076"/>
      <c r="BM231" s="2076"/>
      <c r="BN231" s="2076"/>
      <c r="BO231" s="2076"/>
      <c r="BP231" s="2076"/>
      <c r="BQ231" s="2076"/>
      <c r="BR231" s="2076"/>
      <c r="BS231" s="2076"/>
      <c r="BT231" s="2076"/>
      <c r="BU231" s="2076"/>
      <c r="BV231" s="2076"/>
      <c r="BW231" s="2076"/>
      <c r="BX231" s="2076"/>
      <c r="BY231" s="2076"/>
      <c r="BZ231" s="2076"/>
      <c r="CA231" s="2076"/>
      <c r="CB231" s="2076"/>
      <c r="CC231" s="2076"/>
      <c r="CD231" s="2076"/>
      <c r="CE231" s="2076"/>
      <c r="CF231" s="2076"/>
      <c r="CG231" s="2076"/>
      <c r="CH231" s="2076"/>
      <c r="CI231" s="2076"/>
      <c r="CJ231" s="2076"/>
      <c r="CK231" s="2076"/>
      <c r="CL231" s="2076"/>
      <c r="CM231" s="2076"/>
      <c r="CN231" s="2076"/>
      <c r="CO231" s="2076"/>
      <c r="CP231" s="2076"/>
      <c r="CQ231" s="2076"/>
      <c r="CR231" s="2076"/>
      <c r="CS231" s="2076"/>
      <c r="CT231" s="2076"/>
      <c r="CU231" s="2076"/>
      <c r="CV231" s="2076"/>
      <c r="CW231" s="2076"/>
      <c r="CX231" s="2076"/>
      <c r="CY231" s="2076"/>
      <c r="CZ231" s="2076"/>
      <c r="DA231" s="2076"/>
      <c r="DB231" s="2076"/>
      <c r="DC231" s="2076"/>
      <c r="DD231" s="2076"/>
      <c r="DE231" s="2076"/>
      <c r="DF231" s="2076"/>
      <c r="DG231" s="2076"/>
      <c r="DH231" s="2076"/>
      <c r="DI231" s="2076"/>
      <c r="DJ231" s="2076"/>
      <c r="DK231" s="2076"/>
      <c r="DL231" s="2076"/>
      <c r="DM231" s="2076"/>
      <c r="DN231" s="2076"/>
      <c r="DO231" s="2076"/>
      <c r="DP231" s="2076"/>
      <c r="DQ231" s="2076"/>
      <c r="DR231" s="2076"/>
      <c r="DS231" s="2076"/>
      <c r="DT231" s="2076"/>
      <c r="DU231" s="2076"/>
      <c r="DV231" s="2076"/>
      <c r="DW231" s="2076"/>
      <c r="DX231" s="2076"/>
      <c r="DY231" s="2076"/>
      <c r="DZ231" s="2076"/>
      <c r="EA231" s="2076"/>
      <c r="EB231" s="2076"/>
      <c r="EC231" s="2076"/>
      <c r="ED231" s="2076"/>
      <c r="EE231" s="2076"/>
      <c r="EF231" s="2076"/>
      <c r="EG231" s="2076"/>
      <c r="EH231" s="2076"/>
      <c r="EI231" s="2076"/>
      <c r="EJ231" s="2076"/>
      <c r="EK231" s="2076"/>
      <c r="EL231" s="2076"/>
      <c r="EM231" s="2076"/>
      <c r="EN231" s="2076"/>
      <c r="EO231" s="2076"/>
      <c r="EP231" s="2076"/>
      <c r="EQ231" s="2076"/>
      <c r="ER231" s="2076"/>
      <c r="ES231" s="2076"/>
      <c r="ET231" s="2076"/>
      <c r="EU231" s="2076"/>
      <c r="EV231" s="2076"/>
      <c r="EW231" s="2076"/>
      <c r="EX231" s="2076"/>
      <c r="EY231" s="2076"/>
      <c r="EZ231" s="2076"/>
      <c r="FA231" s="2076"/>
      <c r="FB231" s="2076"/>
      <c r="FC231" s="2076"/>
      <c r="FD231" s="2076"/>
      <c r="FE231" s="2076"/>
      <c r="FF231" s="2076"/>
      <c r="FG231" s="2076"/>
      <c r="FH231" s="2076"/>
      <c r="FI231" s="2076"/>
      <c r="FJ231" s="2076"/>
      <c r="FK231" s="2076"/>
      <c r="FL231" s="2076"/>
      <c r="FM231" s="2076"/>
      <c r="FN231" s="2076"/>
      <c r="FO231" s="2076"/>
      <c r="FP231" s="2076"/>
      <c r="FQ231" s="2076"/>
      <c r="FR231" s="2076"/>
      <c r="FS231" s="2076"/>
      <c r="FT231" s="2076"/>
      <c r="FU231" s="2076"/>
      <c r="FV231" s="2076"/>
      <c r="FW231" s="2076"/>
      <c r="FX231" s="2076"/>
      <c r="FY231" s="2076"/>
      <c r="FZ231" s="2076"/>
      <c r="GA231" s="2076"/>
      <c r="GB231" s="2076"/>
      <c r="GC231" s="2076"/>
      <c r="GD231" s="2076"/>
      <c r="GE231" s="2076"/>
      <c r="GF231" s="2076"/>
      <c r="GG231" s="2076"/>
      <c r="GH231" s="2076"/>
      <c r="GI231" s="2076"/>
      <c r="GJ231" s="2076"/>
      <c r="GK231" s="2076"/>
      <c r="GL231" s="2076"/>
      <c r="GM231" s="2076"/>
      <c r="GN231" s="2076"/>
      <c r="GO231" s="2076"/>
      <c r="GP231" s="2076"/>
      <c r="GQ231" s="2076"/>
      <c r="GR231" s="2076"/>
      <c r="GS231" s="2076"/>
      <c r="GT231" s="2076"/>
      <c r="GU231" s="2076"/>
      <c r="GV231" s="2076"/>
      <c r="GW231" s="2076"/>
      <c r="GX231" s="2076"/>
      <c r="GY231" s="2076"/>
      <c r="GZ231" s="2076"/>
      <c r="HA231" s="2076"/>
      <c r="HB231" s="2076"/>
      <c r="HC231" s="2076"/>
      <c r="HD231" s="2076"/>
      <c r="HE231" s="2076"/>
      <c r="HF231" s="2076"/>
      <c r="HG231" s="2076"/>
      <c r="HH231" s="2076"/>
      <c r="HI231" s="2076"/>
      <c r="HJ231" s="2076"/>
      <c r="HK231" s="2076"/>
      <c r="HL231" s="2076"/>
      <c r="HM231" s="2076"/>
      <c r="HN231" s="2076"/>
      <c r="HO231" s="2076"/>
      <c r="HP231" s="2076"/>
      <c r="HQ231" s="2076"/>
      <c r="HR231" s="2076"/>
      <c r="HS231" s="2076"/>
      <c r="HT231" s="2076"/>
      <c r="HU231" s="2076"/>
      <c r="HV231" s="2076"/>
      <c r="HW231" s="2076"/>
      <c r="HX231" s="2076"/>
      <c r="HY231" s="2076"/>
      <c r="HZ231" s="2076"/>
      <c r="IA231" s="2076"/>
      <c r="IB231" s="2076"/>
      <c r="IC231" s="2076"/>
      <c r="ID231" s="2076"/>
      <c r="IE231" s="2076"/>
      <c r="IF231" s="2076"/>
      <c r="IG231" s="2076"/>
      <c r="IH231" s="2076"/>
      <c r="II231" s="2076"/>
      <c r="IJ231" s="2076"/>
      <c r="IK231" s="2076"/>
      <c r="IL231" s="2076"/>
      <c r="IM231" s="2076"/>
      <c r="IN231" s="2076"/>
      <c r="IO231" s="2076"/>
      <c r="IP231" s="2076"/>
      <c r="IQ231" s="2076"/>
      <c r="IR231" s="2076"/>
      <c r="IS231" s="2076"/>
      <c r="IT231" s="2076"/>
      <c r="IU231" s="2076"/>
      <c r="IV231" s="2076"/>
      <c r="IW231" s="2076"/>
      <c r="IX231" s="2076"/>
      <c r="IY231" s="2076"/>
      <c r="IZ231" s="2076"/>
      <c r="JA231" s="2076"/>
      <c r="JB231" s="2076"/>
      <c r="JC231" s="2076"/>
      <c r="JD231" s="2076"/>
      <c r="JE231" s="2076"/>
      <c r="JF231" s="2076"/>
      <c r="JG231" s="2076"/>
      <c r="JH231" s="2076"/>
      <c r="JI231" s="2076"/>
      <c r="JJ231" s="2076"/>
      <c r="JK231" s="2076"/>
      <c r="JL231" s="2076"/>
      <c r="JM231" s="2076"/>
      <c r="JN231" s="2076"/>
      <c r="JO231" s="2076"/>
      <c r="JP231" s="2076"/>
      <c r="JQ231" s="2076"/>
      <c r="JR231" s="2076"/>
      <c r="JS231" s="2076"/>
      <c r="JT231" s="2076"/>
      <c r="JU231" s="2076"/>
      <c r="JV231" s="2076"/>
      <c r="JW231" s="2076"/>
      <c r="JX231" s="2076"/>
      <c r="JY231" s="2076"/>
      <c r="JZ231" s="2076"/>
      <c r="KA231" s="2076"/>
      <c r="KB231" s="2076"/>
      <c r="KC231" s="2076"/>
      <c r="KD231" s="2076"/>
      <c r="KE231" s="2076"/>
      <c r="KF231" s="2076"/>
      <c r="KG231" s="2076"/>
      <c r="KH231" s="2076"/>
      <c r="KI231" s="2076"/>
      <c r="KJ231" s="2076"/>
      <c r="KK231" s="2076"/>
      <c r="KL231" s="2076"/>
      <c r="KM231" s="2076"/>
      <c r="KN231" s="2076"/>
      <c r="KO231" s="2076"/>
      <c r="KP231" s="2076"/>
      <c r="KQ231" s="2076"/>
      <c r="KR231" s="2076"/>
      <c r="KS231" s="2076"/>
      <c r="KT231" s="2076"/>
      <c r="KU231" s="2076"/>
      <c r="KV231" s="2076"/>
      <c r="KW231" s="2076"/>
      <c r="KX231" s="2076"/>
      <c r="KY231" s="2076"/>
      <c r="KZ231" s="2076"/>
      <c r="LA231" s="2076"/>
      <c r="LB231" s="2076"/>
      <c r="LC231" s="2076"/>
      <c r="LD231" s="2076"/>
      <c r="LE231" s="2076"/>
      <c r="LF231" s="2076"/>
      <c r="LG231" s="2076"/>
      <c r="LH231" s="2076"/>
      <c r="LI231" s="2076"/>
      <c r="LJ231" s="2076"/>
      <c r="LK231" s="2076"/>
      <c r="LL231" s="2076"/>
      <c r="LM231" s="2076"/>
      <c r="LN231" s="2076"/>
      <c r="LO231" s="2076"/>
      <c r="LP231" s="2076"/>
      <c r="LQ231" s="2076"/>
      <c r="LR231" s="2076"/>
      <c r="LS231" s="2076"/>
      <c r="LT231" s="2076"/>
      <c r="LU231" s="2076"/>
      <c r="LV231" s="2076"/>
      <c r="LW231" s="2076"/>
      <c r="LX231" s="2076"/>
      <c r="LY231" s="2076"/>
      <c r="LZ231" s="2076"/>
      <c r="MA231" s="2076"/>
      <c r="MB231" s="2076"/>
      <c r="MC231" s="2076"/>
      <c r="MD231" s="2076"/>
      <c r="ME231" s="2076"/>
      <c r="MF231" s="2076"/>
      <c r="MG231" s="2076"/>
      <c r="MH231" s="2076"/>
      <c r="MI231" s="2076"/>
      <c r="MJ231" s="2076"/>
      <c r="MK231" s="2076"/>
      <c r="ML231" s="2076"/>
      <c r="MM231" s="2076"/>
      <c r="MN231" s="2076"/>
      <c r="MO231" s="2076"/>
      <c r="MP231" s="2076"/>
      <c r="MQ231" s="2076"/>
      <c r="MR231" s="2076"/>
      <c r="MS231" s="2076"/>
      <c r="MT231" s="2076"/>
      <c r="MU231" s="2076"/>
      <c r="MV231" s="2076"/>
      <c r="MW231" s="2076"/>
      <c r="MX231" s="2076"/>
      <c r="MY231" s="2076"/>
      <c r="MZ231" s="2076"/>
      <c r="NA231" s="2076"/>
      <c r="NB231" s="2076"/>
      <c r="NC231" s="2076"/>
      <c r="ND231" s="2076"/>
      <c r="NE231" s="2076"/>
      <c r="NF231" s="2076"/>
      <c r="NG231" s="2076"/>
      <c r="NH231" s="2076"/>
      <c r="NI231" s="2076"/>
      <c r="NJ231" s="2076"/>
      <c r="NK231" s="2076"/>
      <c r="NL231" s="2076"/>
      <c r="NM231" s="2076"/>
      <c r="NN231" s="2076"/>
      <c r="NO231" s="2076"/>
      <c r="NP231" s="2076"/>
      <c r="NQ231" s="2076"/>
      <c r="NR231" s="2076"/>
      <c r="NS231" s="2076"/>
      <c r="NT231" s="2076"/>
      <c r="NU231" s="2076"/>
      <c r="NV231" s="2076"/>
      <c r="NW231" s="2076"/>
      <c r="NX231" s="2076"/>
      <c r="NY231" s="2076"/>
      <c r="NZ231" s="2076"/>
      <c r="OA231" s="2076"/>
      <c r="OB231" s="2076"/>
      <c r="OC231" s="2076"/>
      <c r="OD231" s="2076"/>
      <c r="OE231" s="2076"/>
      <c r="OF231" s="2076"/>
      <c r="OG231" s="2076"/>
      <c r="OH231" s="2076"/>
      <c r="OI231" s="2076"/>
      <c r="OJ231" s="2076"/>
      <c r="OK231" s="2076"/>
      <c r="OL231" s="2076"/>
      <c r="OM231" s="2076"/>
      <c r="ON231" s="2076"/>
      <c r="OO231" s="2076"/>
      <c r="OP231" s="2076"/>
      <c r="OQ231" s="2076"/>
      <c r="OR231" s="2076"/>
      <c r="OS231" s="2076"/>
      <c r="OT231" s="2076"/>
      <c r="OU231" s="2076"/>
      <c r="OV231" s="2076"/>
      <c r="OW231" s="2076"/>
      <c r="OX231" s="2076"/>
      <c r="OY231" s="2076"/>
      <c r="OZ231" s="2076"/>
      <c r="PA231" s="2076"/>
      <c r="PB231" s="2076"/>
      <c r="PC231" s="2076"/>
      <c r="PD231" s="2076"/>
      <c r="PE231" s="2076"/>
      <c r="PF231" s="2076"/>
      <c r="PG231" s="2076"/>
      <c r="PH231" s="2076"/>
      <c r="PI231" s="2076"/>
      <c r="PJ231" s="2076"/>
      <c r="PK231" s="2076"/>
      <c r="PL231" s="2076"/>
      <c r="PM231" s="2076"/>
      <c r="PN231" s="2076"/>
      <c r="PO231" s="2076"/>
      <c r="PP231" s="2076"/>
      <c r="PQ231" s="2076"/>
      <c r="PR231" s="2076"/>
      <c r="PS231" s="2076"/>
      <c r="PT231" s="2076"/>
      <c r="PU231" s="2076"/>
      <c r="PV231" s="2076"/>
      <c r="PW231" s="2076"/>
      <c r="PX231" s="2076"/>
      <c r="PY231" s="2076"/>
      <c r="PZ231" s="2076"/>
      <c r="QA231" s="2076"/>
      <c r="QB231" s="2076"/>
      <c r="QC231" s="2076"/>
      <c r="QD231" s="2076"/>
      <c r="QE231" s="2076"/>
      <c r="QF231" s="2076"/>
      <c r="QG231" s="2076"/>
      <c r="QH231" s="2076"/>
      <c r="QI231" s="2076"/>
      <c r="QJ231" s="2076"/>
      <c r="QK231" s="2076"/>
      <c r="QL231" s="2076"/>
      <c r="QM231" s="2076"/>
      <c r="QN231" s="2076"/>
      <c r="QO231" s="2076"/>
      <c r="QP231" s="2076"/>
      <c r="QQ231" s="2076"/>
      <c r="QR231" s="2076"/>
      <c r="QS231" s="2076"/>
      <c r="QT231" s="2076"/>
      <c r="QU231" s="2076"/>
      <c r="QV231" s="2076"/>
      <c r="QW231" s="2076"/>
      <c r="QX231" s="2076"/>
      <c r="QY231" s="2076"/>
      <c r="QZ231" s="2076"/>
      <c r="RA231" s="2076"/>
      <c r="RB231" s="2076"/>
      <c r="RC231" s="2076"/>
      <c r="RD231" s="2076"/>
      <c r="RE231" s="2076"/>
      <c r="RF231" s="2076"/>
      <c r="RG231" s="2076"/>
      <c r="RH231" s="2076"/>
      <c r="RI231" s="2076"/>
      <c r="RJ231" s="2076"/>
      <c r="RK231" s="2076"/>
      <c r="RL231" s="2076"/>
      <c r="RM231" s="2076"/>
      <c r="RN231" s="2076"/>
      <c r="RO231" s="2076"/>
      <c r="RP231" s="2076"/>
      <c r="RQ231" s="2076"/>
      <c r="RR231" s="2076"/>
      <c r="RS231" s="2076"/>
      <c r="RT231" s="2076"/>
      <c r="RU231" s="2076"/>
      <c r="RV231" s="2076"/>
      <c r="RW231" s="2076"/>
      <c r="RX231" s="2076"/>
      <c r="RY231" s="2076"/>
      <c r="RZ231" s="2076"/>
      <c r="SA231" s="2076"/>
      <c r="SB231" s="2076"/>
      <c r="SC231" s="2076"/>
      <c r="SD231" s="2076"/>
      <c r="SE231" s="2076"/>
      <c r="SF231" s="2076"/>
      <c r="SG231" s="2076"/>
      <c r="SH231" s="2076"/>
      <c r="SI231" s="2076"/>
      <c r="SJ231" s="2076"/>
      <c r="SK231" s="2076"/>
      <c r="SL231" s="2076"/>
      <c r="SM231" s="2076"/>
      <c r="SN231" s="2076"/>
      <c r="SO231" s="2076"/>
      <c r="SP231" s="2076"/>
      <c r="SQ231" s="2076"/>
      <c r="SR231" s="2076"/>
      <c r="SS231" s="2076"/>
      <c r="ST231" s="2076"/>
      <c r="SU231" s="2076"/>
      <c r="SV231" s="2076"/>
      <c r="SW231" s="2076"/>
      <c r="SX231" s="2076"/>
      <c r="SY231" s="2076"/>
      <c r="SZ231" s="2076"/>
      <c r="TA231" s="2076"/>
      <c r="TB231" s="2076"/>
      <c r="TC231" s="2076"/>
      <c r="TD231" s="2076"/>
      <c r="TE231" s="2076"/>
      <c r="TF231" s="2076"/>
      <c r="TG231" s="2076"/>
      <c r="TH231" s="2076"/>
      <c r="TI231" s="2076"/>
      <c r="TJ231" s="2076"/>
      <c r="TK231" s="2076"/>
      <c r="TL231" s="2076"/>
      <c r="TM231" s="2076"/>
      <c r="TN231" s="2076"/>
      <c r="TO231" s="2076"/>
      <c r="TP231" s="2076"/>
      <c r="TQ231" s="2076"/>
      <c r="TR231" s="2076"/>
      <c r="TS231" s="2076"/>
      <c r="TT231" s="2076"/>
      <c r="TU231" s="2076"/>
      <c r="TV231" s="2076"/>
      <c r="TW231" s="2076"/>
      <c r="TX231" s="2076"/>
      <c r="TY231" s="2076"/>
      <c r="TZ231" s="2076"/>
      <c r="UA231" s="2076"/>
      <c r="UB231" s="2076"/>
      <c r="UC231" s="2076"/>
      <c r="UD231" s="2076"/>
      <c r="UE231" s="2076"/>
      <c r="UF231" s="2076"/>
      <c r="UG231" s="2076"/>
      <c r="UH231" s="2076"/>
      <c r="UI231" s="2076"/>
      <c r="UJ231" s="2076"/>
      <c r="UK231" s="2076"/>
      <c r="UL231" s="2076"/>
      <c r="UM231" s="2076"/>
      <c r="UN231" s="2076"/>
      <c r="UO231" s="2076"/>
      <c r="UP231" s="2076"/>
      <c r="UQ231" s="2076"/>
      <c r="UR231" s="2076"/>
      <c r="US231" s="2076"/>
      <c r="UT231" s="2076"/>
      <c r="UU231" s="2076"/>
      <c r="UV231" s="2076"/>
      <c r="UW231" s="2076"/>
      <c r="UX231" s="2076"/>
      <c r="UY231" s="2076"/>
      <c r="UZ231" s="2076"/>
      <c r="VA231" s="2076"/>
      <c r="VB231" s="2076"/>
      <c r="VC231" s="2076"/>
      <c r="VD231" s="2076"/>
      <c r="VE231" s="2076"/>
      <c r="VF231" s="2076"/>
      <c r="VG231" s="2076"/>
      <c r="VH231" s="2076"/>
      <c r="VI231" s="2076"/>
      <c r="VJ231" s="2076"/>
      <c r="VK231" s="2076"/>
      <c r="VL231" s="2076"/>
      <c r="VM231" s="2076"/>
      <c r="VN231" s="2076"/>
      <c r="VO231" s="2076"/>
      <c r="VP231" s="2076"/>
      <c r="VQ231" s="2076"/>
      <c r="VR231" s="2076"/>
      <c r="VS231" s="2076"/>
      <c r="VT231" s="2076"/>
      <c r="VU231" s="2076"/>
      <c r="VV231" s="2076"/>
      <c r="VW231" s="2076"/>
      <c r="VX231" s="2076"/>
      <c r="VY231" s="2076"/>
      <c r="VZ231" s="2076"/>
      <c r="WA231" s="2076"/>
      <c r="WB231" s="2076"/>
      <c r="WC231" s="2076"/>
      <c r="WD231" s="2076"/>
      <c r="WE231" s="2076"/>
      <c r="WF231" s="2076"/>
      <c r="WG231" s="2076"/>
      <c r="WH231" s="2076"/>
      <c r="WI231" s="2076"/>
      <c r="WJ231" s="2076"/>
      <c r="WK231" s="2076"/>
      <c r="WL231" s="2076"/>
      <c r="WM231" s="2076"/>
      <c r="WN231" s="2076"/>
      <c r="WO231" s="2076"/>
      <c r="WP231" s="2076"/>
      <c r="WQ231" s="2076"/>
      <c r="WR231" s="2076"/>
      <c r="WS231" s="2076"/>
      <c r="WT231" s="2076"/>
      <c r="WU231" s="2076"/>
      <c r="WV231" s="2076"/>
      <c r="WW231" s="2076"/>
      <c r="WX231" s="2076"/>
      <c r="WY231" s="2076"/>
      <c r="WZ231" s="2076"/>
      <c r="XA231" s="2076"/>
      <c r="XB231" s="2076"/>
      <c r="XC231" s="2076"/>
      <c r="XD231" s="2076"/>
      <c r="XE231" s="2076"/>
      <c r="XF231" s="2076"/>
      <c r="XG231" s="2076"/>
      <c r="XH231" s="2076"/>
      <c r="XI231" s="2076"/>
      <c r="XJ231" s="2076"/>
      <c r="XK231" s="2076"/>
      <c r="XL231" s="2076"/>
      <c r="XM231" s="2076"/>
      <c r="XN231" s="2076"/>
      <c r="XO231" s="2076"/>
      <c r="XP231" s="2076"/>
      <c r="XQ231" s="2076"/>
      <c r="XR231" s="2076"/>
      <c r="XS231" s="2076"/>
      <c r="XT231" s="2076"/>
      <c r="XU231" s="2076"/>
      <c r="XV231" s="2076"/>
      <c r="XW231" s="2076"/>
      <c r="XX231" s="2076"/>
      <c r="XY231" s="2076"/>
      <c r="XZ231" s="2076"/>
      <c r="YA231" s="2076"/>
      <c r="YB231" s="2076"/>
      <c r="YC231" s="2076"/>
      <c r="YD231" s="2076"/>
      <c r="YE231" s="2076"/>
      <c r="YF231" s="2076"/>
      <c r="YG231" s="2076"/>
      <c r="YH231" s="2076"/>
      <c r="YI231" s="2076"/>
      <c r="YJ231" s="2076"/>
      <c r="YK231" s="2076"/>
      <c r="YL231" s="2076"/>
      <c r="YM231" s="2076"/>
      <c r="YN231" s="2076"/>
      <c r="YO231" s="2076"/>
      <c r="YP231" s="2076"/>
      <c r="YQ231" s="2076"/>
      <c r="YR231" s="2076"/>
      <c r="YS231" s="2076"/>
      <c r="YT231" s="2076"/>
      <c r="YU231" s="2076"/>
      <c r="YV231" s="2076"/>
      <c r="YW231" s="2076"/>
      <c r="YX231" s="2076"/>
      <c r="YY231" s="2076"/>
      <c r="YZ231" s="2076"/>
      <c r="ZA231" s="2076"/>
      <c r="ZB231" s="2076"/>
      <c r="ZC231" s="2076"/>
      <c r="ZD231" s="2076"/>
      <c r="ZE231" s="2076"/>
      <c r="ZF231" s="2076"/>
      <c r="ZG231" s="2076"/>
      <c r="ZH231" s="2076"/>
      <c r="ZI231" s="2076"/>
      <c r="ZJ231" s="2076"/>
      <c r="ZK231" s="2076"/>
      <c r="ZL231" s="2076"/>
      <c r="ZM231" s="2076"/>
      <c r="ZN231" s="2076"/>
      <c r="ZO231" s="2076"/>
      <c r="ZP231" s="2076"/>
      <c r="ZQ231" s="2076"/>
      <c r="ZR231" s="2076"/>
      <c r="ZS231" s="2076"/>
      <c r="ZT231" s="2076"/>
      <c r="ZU231" s="2076"/>
      <c r="ZV231" s="2076"/>
      <c r="ZW231" s="2076"/>
      <c r="ZX231" s="2076"/>
      <c r="ZY231" s="2076"/>
      <c r="ZZ231" s="2076"/>
      <c r="AAA231" s="2076"/>
      <c r="AAB231" s="2076"/>
      <c r="AAC231" s="2076"/>
      <c r="AAD231" s="2076"/>
      <c r="AAE231" s="2076"/>
      <c r="AAF231" s="2076"/>
      <c r="AAG231" s="2076"/>
      <c r="AAH231" s="2076"/>
      <c r="AAI231" s="2076"/>
      <c r="AAJ231" s="2076"/>
      <c r="AAK231" s="2076"/>
      <c r="AAL231" s="2076"/>
      <c r="AAM231" s="2076"/>
      <c r="AAN231" s="2076"/>
      <c r="AAO231" s="2076"/>
      <c r="AAP231" s="2076"/>
      <c r="AAQ231" s="2076"/>
      <c r="AAR231" s="2076"/>
      <c r="AAS231" s="2076"/>
      <c r="AAT231" s="2076"/>
      <c r="AAU231" s="2076"/>
      <c r="AAV231" s="2076"/>
      <c r="AAW231" s="2076"/>
      <c r="AAX231" s="2076"/>
      <c r="AAY231" s="2076"/>
      <c r="AAZ231" s="2076"/>
      <c r="ABA231" s="2076"/>
      <c r="ABB231" s="2076"/>
      <c r="ABC231" s="2076"/>
      <c r="ABD231" s="2076"/>
      <c r="ABE231" s="2076"/>
      <c r="ABF231" s="2076"/>
      <c r="ABG231" s="2076"/>
      <c r="ABH231" s="2076"/>
      <c r="ABI231" s="2076"/>
      <c r="ABJ231" s="2076"/>
      <c r="ABK231" s="2076"/>
      <c r="ABL231" s="2076"/>
      <c r="ABM231" s="2076"/>
      <c r="ABN231" s="2076"/>
      <c r="ABO231" s="2076"/>
      <c r="ABP231" s="2076"/>
      <c r="ABQ231" s="2076"/>
      <c r="ABR231" s="2076"/>
      <c r="ABS231" s="2076"/>
      <c r="ABT231" s="2076"/>
      <c r="ABU231" s="2076"/>
      <c r="ABV231" s="2076"/>
      <c r="ABW231" s="2076"/>
      <c r="ABX231" s="2076"/>
      <c r="ABY231" s="2076"/>
      <c r="ABZ231" s="2076"/>
      <c r="ACA231" s="2076"/>
      <c r="ACB231" s="2076"/>
      <c r="ACC231" s="2076"/>
      <c r="ACD231" s="2076"/>
      <c r="ACE231" s="2076"/>
      <c r="ACF231" s="2076"/>
      <c r="ACG231" s="2076"/>
      <c r="ACH231" s="2076"/>
      <c r="ACI231" s="2076"/>
      <c r="ACJ231" s="2076"/>
      <c r="ACK231" s="2076"/>
      <c r="ACL231" s="2076"/>
      <c r="ACM231" s="2076"/>
      <c r="ACN231" s="2076"/>
      <c r="ACO231" s="2076"/>
      <c r="ACP231" s="2076"/>
      <c r="ACQ231" s="2076"/>
      <c r="ACR231" s="2076"/>
      <c r="ACS231" s="2076"/>
      <c r="ACT231" s="2076"/>
      <c r="ACU231" s="2076"/>
      <c r="ACV231" s="2076"/>
      <c r="ACW231" s="2076"/>
      <c r="ACX231" s="2076"/>
      <c r="ACY231" s="2076"/>
      <c r="ACZ231" s="2076"/>
      <c r="ADA231" s="2076"/>
      <c r="ADB231" s="2076"/>
      <c r="ADC231" s="2076"/>
      <c r="ADD231" s="2076"/>
      <c r="ADE231" s="2076"/>
      <c r="ADF231" s="2076"/>
      <c r="ADG231" s="2076"/>
      <c r="ADH231" s="2076"/>
      <c r="ADI231" s="2076"/>
      <c r="ADJ231" s="2076"/>
      <c r="ADK231" s="2076"/>
      <c r="ADL231" s="2076"/>
      <c r="ADM231" s="2076"/>
      <c r="ADN231" s="2076"/>
      <c r="ADO231" s="2076"/>
      <c r="ADP231" s="2076"/>
      <c r="ADQ231" s="2076"/>
      <c r="ADR231" s="2076"/>
      <c r="ADS231" s="2076"/>
      <c r="ADT231" s="2076"/>
      <c r="ADU231" s="2076"/>
      <c r="ADV231" s="2076"/>
      <c r="ADW231" s="2076"/>
      <c r="ADX231" s="2076"/>
      <c r="ADY231" s="2076"/>
      <c r="ADZ231" s="2076"/>
      <c r="AEA231" s="2076"/>
      <c r="AEB231" s="2076"/>
      <c r="AEC231" s="2076"/>
      <c r="AED231" s="2076"/>
      <c r="AEE231" s="2076"/>
      <c r="AEF231" s="2076"/>
      <c r="AEG231" s="2076"/>
      <c r="AEH231" s="2076"/>
      <c r="AEI231" s="2076"/>
      <c r="AEJ231" s="2076"/>
      <c r="AEK231" s="2076"/>
      <c r="AEL231" s="2076"/>
      <c r="AEM231" s="2076"/>
      <c r="AEN231" s="2076"/>
      <c r="AEO231" s="2076"/>
      <c r="AEP231" s="2076"/>
      <c r="AEQ231" s="2076"/>
      <c r="AER231" s="2076"/>
      <c r="AES231" s="2076"/>
      <c r="AET231" s="2076"/>
      <c r="AEU231" s="2076"/>
      <c r="AEV231" s="2076"/>
      <c r="AEW231" s="2076"/>
      <c r="AEX231" s="2076"/>
      <c r="AEY231" s="2076"/>
      <c r="AEZ231" s="2076"/>
      <c r="AFA231" s="2076"/>
      <c r="AFB231" s="2076"/>
      <c r="AFC231" s="2076"/>
      <c r="AFD231" s="2076"/>
      <c r="AFE231" s="2076"/>
      <c r="AFF231" s="2076"/>
      <c r="AFG231" s="2076"/>
      <c r="AFH231" s="2076"/>
      <c r="AFI231" s="2076"/>
      <c r="AFJ231" s="2076"/>
      <c r="AFK231" s="2076"/>
      <c r="AFL231" s="2076"/>
      <c r="AFM231" s="2076"/>
      <c r="AFN231" s="2076"/>
      <c r="AFO231" s="2076"/>
      <c r="AFP231" s="2076"/>
      <c r="AFQ231" s="2076"/>
      <c r="AFR231" s="2076"/>
      <c r="AFS231" s="2076"/>
      <c r="AFT231" s="2076"/>
      <c r="AFU231" s="2076"/>
      <c r="AFV231" s="2076"/>
      <c r="AFW231" s="2076"/>
      <c r="AFX231" s="2076"/>
      <c r="AFY231" s="2076"/>
      <c r="AFZ231" s="2076"/>
      <c r="AGA231" s="2076"/>
      <c r="AGB231" s="2076"/>
      <c r="AGC231" s="2076"/>
      <c r="AGD231" s="2076"/>
      <c r="AGE231" s="2076"/>
      <c r="AGF231" s="2076"/>
      <c r="AGG231" s="2076"/>
      <c r="AGH231" s="2076"/>
      <c r="AGI231" s="2076"/>
      <c r="AGJ231" s="2076"/>
      <c r="AGK231" s="2076"/>
      <c r="AGL231" s="2076"/>
      <c r="AGM231" s="2076"/>
      <c r="AGN231" s="2076"/>
      <c r="AGO231" s="2076"/>
      <c r="AGP231" s="2076"/>
      <c r="AGQ231" s="2076"/>
      <c r="AGR231" s="2076"/>
      <c r="AGS231" s="2076"/>
      <c r="AGT231" s="2076"/>
      <c r="AGU231" s="2076"/>
      <c r="AGV231" s="2076"/>
      <c r="AGW231" s="2076"/>
      <c r="AGX231" s="2076"/>
      <c r="AGY231" s="2076"/>
      <c r="AGZ231" s="2076"/>
      <c r="AHA231" s="2076"/>
      <c r="AHB231" s="2076"/>
      <c r="AHC231" s="2076"/>
      <c r="AHD231" s="2076"/>
      <c r="AHE231" s="2076"/>
      <c r="AHF231" s="2076"/>
      <c r="AHG231" s="2076"/>
      <c r="AHH231" s="2076"/>
      <c r="AHI231" s="2076"/>
      <c r="AHJ231" s="2076"/>
      <c r="AHK231" s="2076"/>
      <c r="AHL231" s="2076"/>
      <c r="AHM231" s="2076"/>
      <c r="AHN231" s="2076"/>
      <c r="AHO231" s="2076"/>
      <c r="AHP231" s="2076"/>
      <c r="AHQ231" s="2076"/>
      <c r="AHR231" s="2076"/>
      <c r="AHS231" s="2076"/>
      <c r="AHT231" s="2076"/>
      <c r="AHU231" s="2076"/>
      <c r="AHV231" s="2076"/>
      <c r="AHW231" s="2076"/>
      <c r="AHX231" s="2076"/>
      <c r="AHY231" s="2076"/>
      <c r="AHZ231" s="2076"/>
      <c r="AIA231" s="2076"/>
      <c r="AIB231" s="2076"/>
      <c r="AIC231" s="2076"/>
      <c r="AID231" s="2076"/>
      <c r="AIE231" s="2076"/>
      <c r="AIF231" s="2076"/>
      <c r="AIG231" s="2076"/>
      <c r="AIH231" s="2076"/>
      <c r="AII231" s="2076"/>
      <c r="AIJ231" s="2076"/>
      <c r="AIK231" s="2076"/>
      <c r="AIL231" s="2076"/>
      <c r="AIM231" s="2076"/>
      <c r="AIN231" s="2076"/>
      <c r="AIO231" s="2076"/>
      <c r="AIP231" s="2076"/>
      <c r="AIQ231" s="2076"/>
      <c r="AIR231" s="2076"/>
      <c r="AIS231" s="2076"/>
      <c r="AIT231" s="2076"/>
      <c r="AIU231" s="2076"/>
      <c r="AIV231" s="2076"/>
      <c r="AIW231" s="2076"/>
      <c r="AIX231" s="2076"/>
      <c r="AIY231" s="2076"/>
      <c r="AIZ231" s="2076"/>
      <c r="AJA231" s="2076"/>
      <c r="AJB231" s="2076"/>
      <c r="AJC231" s="2076"/>
      <c r="AJD231" s="2076"/>
      <c r="AJE231" s="2076"/>
      <c r="AJF231" s="2076"/>
      <c r="AJG231" s="2076"/>
      <c r="AJH231" s="2076"/>
      <c r="AJI231" s="2076"/>
      <c r="AJJ231" s="2076"/>
      <c r="AJK231" s="2076"/>
      <c r="AJL231" s="2076"/>
      <c r="AJM231" s="2076"/>
      <c r="AJN231" s="2076"/>
      <c r="AJO231" s="2076"/>
      <c r="AJP231" s="2076"/>
      <c r="AJQ231" s="2076"/>
      <c r="AJR231" s="2076"/>
      <c r="AJS231" s="2076"/>
      <c r="AJT231" s="2076"/>
      <c r="AJU231" s="2076"/>
      <c r="AJV231" s="2076"/>
      <c r="AJW231" s="2076"/>
      <c r="AJX231" s="2076"/>
      <c r="AJY231" s="2076"/>
      <c r="AJZ231" s="2076"/>
      <c r="AKA231" s="2076"/>
      <c r="AKB231" s="2076"/>
      <c r="AKC231" s="2076"/>
      <c r="AKD231" s="2076"/>
      <c r="AKE231" s="2076"/>
      <c r="AKF231" s="2076"/>
      <c r="AKG231" s="2076"/>
      <c r="AKH231" s="2076"/>
      <c r="AKI231" s="2076"/>
      <c r="AKJ231" s="2076"/>
      <c r="AKK231" s="2076"/>
      <c r="AKL231" s="2076"/>
      <c r="AKM231" s="2076"/>
      <c r="AKN231" s="2076"/>
      <c r="AKO231" s="2076"/>
      <c r="AKP231" s="2076"/>
      <c r="AKQ231" s="2076"/>
      <c r="AKR231" s="2076"/>
      <c r="AKS231" s="2076"/>
      <c r="AKT231" s="2076"/>
      <c r="AKU231" s="2076"/>
      <c r="AKV231" s="2076"/>
      <c r="AKW231" s="2076"/>
      <c r="AKX231" s="2076"/>
      <c r="AKY231" s="2076"/>
      <c r="AKZ231" s="2076"/>
      <c r="ALA231" s="2076"/>
      <c r="ALB231" s="2076"/>
      <c r="ALC231" s="2076"/>
      <c r="ALD231" s="2076"/>
      <c r="ALE231" s="2076"/>
      <c r="ALF231" s="2076"/>
      <c r="ALG231" s="2076"/>
      <c r="ALH231" s="2076"/>
      <c r="ALI231" s="2076"/>
      <c r="ALJ231" s="2076"/>
      <c r="ALK231" s="2076"/>
      <c r="ALL231" s="2076"/>
      <c r="ALM231" s="2076"/>
      <c r="ALN231" s="2076"/>
      <c r="ALO231" s="2076"/>
      <c r="ALP231" s="2076"/>
      <c r="ALQ231" s="2076"/>
      <c r="ALR231" s="2076"/>
      <c r="ALS231" s="2076"/>
      <c r="ALT231" s="2076"/>
      <c r="ALU231" s="2076"/>
      <c r="ALV231" s="2076"/>
      <c r="ALW231" s="2076"/>
      <c r="ALX231" s="2076"/>
      <c r="ALY231" s="2076"/>
      <c r="ALZ231" s="2076"/>
      <c r="AMA231" s="2076"/>
      <c r="AMB231" s="2076"/>
      <c r="AMC231" s="2076"/>
      <c r="AMD231" s="2076"/>
      <c r="AME231" s="2076"/>
      <c r="AMF231" s="2076"/>
      <c r="AMG231" s="2076"/>
      <c r="AMH231" s="2076"/>
      <c r="AMI231" s="2076"/>
      <c r="AMJ231" s="2076"/>
      <c r="AMK231" s="2076"/>
      <c r="AML231" s="2076"/>
      <c r="AMM231" s="2076"/>
      <c r="AMN231" s="2076"/>
      <c r="AMO231" s="2076"/>
      <c r="AMP231" s="2076"/>
      <c r="AMQ231" s="2076"/>
      <c r="AMR231" s="2076"/>
      <c r="AMS231" s="2076"/>
      <c r="AMT231" s="2076"/>
      <c r="AMU231" s="2076"/>
      <c r="AMV231" s="2076"/>
      <c r="AMW231" s="2076"/>
      <c r="AMX231" s="2076"/>
      <c r="AMY231" s="2076"/>
      <c r="AMZ231" s="2076"/>
      <c r="ANA231" s="2076"/>
      <c r="ANB231" s="2076"/>
      <c r="ANC231" s="2076"/>
      <c r="AND231" s="2076"/>
      <c r="ANE231" s="2076"/>
      <c r="ANF231" s="2076"/>
      <c r="ANG231" s="2076"/>
      <c r="ANH231" s="2076"/>
      <c r="ANI231" s="2076"/>
      <c r="ANJ231" s="2076"/>
      <c r="ANK231" s="2076"/>
      <c r="ANL231" s="2076"/>
      <c r="ANM231" s="2076"/>
      <c r="ANN231" s="2076"/>
      <c r="ANO231" s="2076"/>
      <c r="ANP231" s="2076"/>
      <c r="ANQ231" s="2076"/>
      <c r="ANR231" s="2076"/>
      <c r="ANS231" s="2076"/>
      <c r="ANT231" s="2076"/>
      <c r="ANU231" s="2076"/>
      <c r="ANV231" s="2076"/>
      <c r="ANW231" s="2076"/>
      <c r="ANX231" s="2076"/>
      <c r="ANY231" s="2076"/>
      <c r="ANZ231" s="2076"/>
      <c r="AOA231" s="2076"/>
      <c r="AOB231" s="2076"/>
      <c r="AOC231" s="2076"/>
      <c r="AOD231" s="2076"/>
      <c r="AOE231" s="2076"/>
      <c r="AOF231" s="2076"/>
      <c r="AOG231" s="2076"/>
      <c r="AOH231" s="2076"/>
      <c r="AOI231" s="2076"/>
      <c r="AOJ231" s="2076"/>
      <c r="AOK231" s="2076"/>
      <c r="AOL231" s="2076"/>
      <c r="AOM231" s="2076"/>
      <c r="AON231" s="2076"/>
      <c r="AOO231" s="2076"/>
      <c r="AOP231" s="2076"/>
      <c r="AOQ231" s="2076"/>
      <c r="AOR231" s="2076"/>
      <c r="AOS231" s="2076"/>
      <c r="AOT231" s="2076"/>
      <c r="AOU231" s="2076"/>
      <c r="AOV231" s="2076"/>
      <c r="AOW231" s="2076"/>
      <c r="AOX231" s="2076"/>
      <c r="AOY231" s="2076"/>
      <c r="AOZ231" s="2076"/>
      <c r="APA231" s="2076"/>
      <c r="APB231" s="2076"/>
      <c r="APC231" s="2076"/>
      <c r="APD231" s="2076"/>
      <c r="APE231" s="2076"/>
      <c r="APF231" s="2076"/>
      <c r="APG231" s="2076"/>
      <c r="APH231" s="2076"/>
      <c r="API231" s="2076"/>
      <c r="APJ231" s="2076"/>
      <c r="APK231" s="2076"/>
      <c r="APL231" s="2076"/>
      <c r="APM231" s="2076"/>
      <c r="APN231" s="2076"/>
      <c r="APO231" s="2076"/>
      <c r="APP231" s="2076"/>
      <c r="APQ231" s="2076"/>
      <c r="APR231" s="2076"/>
      <c r="APS231" s="2076"/>
      <c r="APT231" s="2076"/>
      <c r="APU231" s="2076"/>
      <c r="APV231" s="2076"/>
      <c r="APW231" s="2076"/>
      <c r="APX231" s="2076"/>
      <c r="APY231" s="2076"/>
      <c r="APZ231" s="2076"/>
      <c r="AQA231" s="2076"/>
      <c r="AQB231" s="2076"/>
      <c r="AQC231" s="2076"/>
      <c r="AQD231" s="2076"/>
      <c r="AQE231" s="2076"/>
      <c r="AQF231" s="2076"/>
      <c r="AQG231" s="2076"/>
      <c r="AQH231" s="2076"/>
      <c r="AQI231" s="2076"/>
      <c r="AQJ231" s="2076"/>
      <c r="AQK231" s="2076"/>
      <c r="AQL231" s="2076"/>
      <c r="AQM231" s="2076"/>
      <c r="AQN231" s="2076"/>
      <c r="AQO231" s="2076"/>
      <c r="AQP231" s="2076"/>
      <c r="AQQ231" s="2076"/>
      <c r="AQR231" s="2076"/>
      <c r="AQS231" s="2076"/>
      <c r="AQT231" s="2076"/>
      <c r="AQU231" s="2076"/>
      <c r="AQV231" s="2076"/>
      <c r="AQW231" s="2076"/>
      <c r="AQX231" s="2076"/>
      <c r="AQY231" s="2076"/>
      <c r="AQZ231" s="2076"/>
      <c r="ARA231" s="2076"/>
      <c r="ARB231" s="2076"/>
      <c r="ARC231" s="2076"/>
      <c r="ARD231" s="2076"/>
      <c r="ARE231" s="2076"/>
      <c r="ARF231" s="2076"/>
      <c r="ARG231" s="2076"/>
      <c r="ARH231" s="2076"/>
      <c r="ARI231" s="2076"/>
      <c r="ARJ231" s="2076"/>
      <c r="ARK231" s="2076"/>
      <c r="ARL231" s="2076"/>
      <c r="ARM231" s="2076"/>
      <c r="ARN231" s="2076"/>
      <c r="ARO231" s="2076"/>
      <c r="ARP231" s="2076"/>
      <c r="ARQ231" s="2076"/>
      <c r="ARR231" s="2076"/>
      <c r="ARS231" s="2076"/>
      <c r="ART231" s="2076"/>
      <c r="ARU231" s="2076"/>
      <c r="ARV231" s="2076"/>
      <c r="ARW231" s="2076"/>
      <c r="ARX231" s="2076"/>
      <c r="ARY231" s="2076"/>
      <c r="ARZ231" s="2076"/>
      <c r="ASA231" s="2076"/>
      <c r="ASB231" s="2076"/>
      <c r="ASC231" s="2076"/>
      <c r="ASD231" s="2076"/>
      <c r="ASE231" s="2076"/>
      <c r="ASF231" s="2076"/>
      <c r="ASG231" s="2076"/>
      <c r="ASH231" s="2076"/>
      <c r="ASI231" s="2076"/>
      <c r="ASJ231" s="2076"/>
      <c r="ASK231" s="2076"/>
      <c r="ASL231" s="2076"/>
      <c r="ASM231" s="2076"/>
      <c r="ASN231" s="2076"/>
      <c r="ASO231" s="2076"/>
      <c r="ASP231" s="2076"/>
      <c r="ASQ231" s="2076"/>
      <c r="ASR231" s="2076"/>
      <c r="ASS231" s="2076"/>
      <c r="AST231" s="2076"/>
      <c r="ASU231" s="2076"/>
      <c r="ASV231" s="2076"/>
      <c r="ASW231" s="2076"/>
      <c r="ASX231" s="2076"/>
      <c r="ASY231" s="2076"/>
      <c r="ASZ231" s="2076"/>
      <c r="ATA231" s="2076"/>
      <c r="ATB231" s="2076"/>
      <c r="ATC231" s="2076"/>
      <c r="ATD231" s="2076"/>
      <c r="ATE231" s="2076"/>
      <c r="ATF231" s="2076"/>
      <c r="ATG231" s="2076"/>
      <c r="ATH231" s="2076"/>
      <c r="ATI231" s="2076"/>
      <c r="ATJ231" s="2076"/>
      <c r="ATK231" s="2076"/>
      <c r="ATL231" s="2076"/>
      <c r="ATM231" s="2076"/>
      <c r="ATN231" s="2076"/>
      <c r="ATO231" s="2076"/>
      <c r="ATP231" s="2076"/>
      <c r="ATQ231" s="2076"/>
      <c r="ATR231" s="2076"/>
      <c r="ATS231" s="2076"/>
      <c r="ATT231" s="2076"/>
      <c r="ATU231" s="2076"/>
      <c r="ATV231" s="2076"/>
      <c r="ATW231" s="2076"/>
      <c r="ATX231" s="2076"/>
      <c r="ATY231" s="2076"/>
      <c r="ATZ231" s="2076"/>
      <c r="AUA231" s="2076"/>
      <c r="AUB231" s="2076"/>
      <c r="AUC231" s="2076"/>
      <c r="AUD231" s="2076"/>
      <c r="AUE231" s="2076"/>
      <c r="AUF231" s="2076"/>
      <c r="AUG231" s="2076"/>
      <c r="AUH231" s="2076"/>
      <c r="AUI231" s="2076"/>
      <c r="AUJ231" s="2076"/>
      <c r="AUK231" s="2076"/>
      <c r="AUL231" s="2076"/>
      <c r="AUM231" s="2076"/>
      <c r="AUN231" s="2076"/>
      <c r="AUO231" s="2076"/>
      <c r="AUP231" s="2076"/>
      <c r="AUQ231" s="2076"/>
      <c r="AUR231" s="2076"/>
      <c r="AUS231" s="2076"/>
      <c r="AUT231" s="2076"/>
      <c r="AUU231" s="2076"/>
      <c r="AUV231" s="2076"/>
      <c r="AUW231" s="2076"/>
      <c r="AUX231" s="2076"/>
      <c r="AUY231" s="2076"/>
      <c r="AUZ231" s="2076"/>
      <c r="AVA231" s="2076"/>
      <c r="AVB231" s="2076"/>
      <c r="AVC231" s="2076"/>
      <c r="AVD231" s="2076"/>
      <c r="AVE231" s="2076"/>
      <c r="AVF231" s="2076"/>
      <c r="AVG231" s="2076"/>
      <c r="AVH231" s="2076"/>
      <c r="AVI231" s="2076"/>
      <c r="AVJ231" s="2076"/>
      <c r="AVK231" s="2076"/>
      <c r="AVL231" s="2076"/>
      <c r="AVM231" s="2076"/>
      <c r="AVN231" s="2076"/>
      <c r="AVO231" s="2076"/>
      <c r="AVP231" s="2076"/>
      <c r="AVQ231" s="2076"/>
      <c r="AVR231" s="2076"/>
      <c r="AVS231" s="2076"/>
      <c r="AVT231" s="2076"/>
      <c r="AVU231" s="2076"/>
      <c r="AVV231" s="2076"/>
      <c r="AVW231" s="2076"/>
      <c r="AVX231" s="2076"/>
      <c r="AVY231" s="2076"/>
      <c r="AVZ231" s="2076"/>
      <c r="AWA231" s="2076"/>
      <c r="AWB231" s="2076"/>
      <c r="AWC231" s="2076"/>
      <c r="AWD231" s="2076"/>
      <c r="AWE231" s="2076"/>
      <c r="AWF231" s="2076"/>
      <c r="AWG231" s="2076"/>
      <c r="AWH231" s="2076"/>
      <c r="AWI231" s="2076"/>
      <c r="AWJ231" s="2076"/>
      <c r="AWK231" s="2076"/>
      <c r="AWL231" s="2076"/>
      <c r="AWM231" s="2076"/>
      <c r="AWN231" s="2076"/>
      <c r="AWO231" s="2076"/>
      <c r="AWP231" s="2076"/>
      <c r="AWQ231" s="2076"/>
      <c r="AWR231" s="2076"/>
      <c r="AWS231" s="2076"/>
      <c r="AWT231" s="2076"/>
      <c r="AWU231" s="2076"/>
      <c r="AWV231" s="2076"/>
      <c r="AWW231" s="2076"/>
      <c r="AWX231" s="2076"/>
      <c r="AWY231" s="2076"/>
      <c r="AWZ231" s="2076"/>
      <c r="AXA231" s="2076"/>
      <c r="AXB231" s="2076"/>
      <c r="AXC231" s="2076"/>
      <c r="AXD231" s="2076"/>
      <c r="AXE231" s="2076"/>
      <c r="AXF231" s="2076"/>
      <c r="AXG231" s="2076"/>
      <c r="AXH231" s="2076"/>
      <c r="AXI231" s="2076"/>
      <c r="AXJ231" s="2076"/>
    </row>
    <row r="232" spans="1:1310" s="2077" customFormat="1" ht="23.25" customHeight="1">
      <c r="A232" s="2092"/>
      <c r="B232" s="3238" t="s">
        <v>2382</v>
      </c>
      <c r="C232" s="3238"/>
      <c r="D232" s="3238"/>
      <c r="E232" s="3238"/>
      <c r="F232" s="2086"/>
      <c r="G232" s="3238" t="s">
        <v>2383</v>
      </c>
      <c r="H232" s="3238"/>
      <c r="I232" s="3238"/>
      <c r="J232" s="2086"/>
      <c r="K232" s="3238" t="s">
        <v>2384</v>
      </c>
      <c r="L232" s="3238"/>
      <c r="M232" s="3238"/>
      <c r="N232" s="2086"/>
      <c r="O232" s="3238" t="s">
        <v>2385</v>
      </c>
      <c r="P232" s="3238"/>
      <c r="Q232" s="2086"/>
      <c r="R232" s="755"/>
      <c r="S232" s="755"/>
      <c r="T232" s="755"/>
      <c r="U232" s="755"/>
      <c r="V232" s="755"/>
      <c r="W232" s="755"/>
      <c r="X232" s="755"/>
      <c r="Y232" s="755"/>
      <c r="Z232" s="755"/>
      <c r="AA232" s="755"/>
      <c r="AB232" s="755"/>
      <c r="AC232" s="755"/>
      <c r="AD232" s="2075"/>
      <c r="AE232" s="2075"/>
      <c r="AF232" s="2075"/>
      <c r="AG232" s="2075"/>
      <c r="AH232" s="2075"/>
      <c r="AI232" s="2075"/>
      <c r="AJ232" s="2075"/>
      <c r="AK232" s="2075"/>
      <c r="AL232" s="2075"/>
      <c r="AM232" s="2075"/>
      <c r="AN232" s="2075"/>
      <c r="AO232" s="2075"/>
      <c r="AP232" s="2075"/>
      <c r="AQ232" s="2075"/>
      <c r="AR232" s="2075"/>
      <c r="AS232" s="2075"/>
      <c r="AT232" s="2075"/>
      <c r="AU232" s="2075"/>
      <c r="AV232" s="2076"/>
      <c r="AW232" s="2076"/>
      <c r="AX232" s="2076"/>
      <c r="AY232" s="2076"/>
      <c r="AZ232" s="2076"/>
      <c r="BA232" s="2076"/>
      <c r="BB232" s="2076"/>
      <c r="BC232" s="2076"/>
      <c r="BD232" s="2076"/>
      <c r="BE232" s="2076"/>
      <c r="BF232" s="2076"/>
      <c r="BG232" s="2076"/>
      <c r="BH232" s="2076"/>
      <c r="BI232" s="2076"/>
      <c r="BJ232" s="2076"/>
      <c r="BK232" s="2076"/>
      <c r="BL232" s="2076"/>
      <c r="BM232" s="2076"/>
      <c r="BN232" s="2076"/>
      <c r="BO232" s="2076"/>
      <c r="BP232" s="2076"/>
      <c r="BQ232" s="2076"/>
      <c r="BR232" s="2076"/>
      <c r="BS232" s="2076"/>
      <c r="BT232" s="2076"/>
      <c r="BU232" s="2076"/>
      <c r="BV232" s="2076"/>
      <c r="BW232" s="2076"/>
      <c r="BX232" s="2076"/>
      <c r="BY232" s="2076"/>
      <c r="BZ232" s="2076"/>
      <c r="CA232" s="2076"/>
      <c r="CB232" s="2076"/>
      <c r="CC232" s="2076"/>
      <c r="CD232" s="2076"/>
      <c r="CE232" s="2076"/>
      <c r="CF232" s="2076"/>
      <c r="CG232" s="2076"/>
      <c r="CH232" s="2076"/>
      <c r="CI232" s="2076"/>
      <c r="CJ232" s="2076"/>
      <c r="CK232" s="2076"/>
      <c r="CL232" s="2076"/>
      <c r="CM232" s="2076"/>
      <c r="CN232" s="2076"/>
      <c r="CO232" s="2076"/>
      <c r="CP232" s="2076"/>
      <c r="CQ232" s="2076"/>
      <c r="CR232" s="2076"/>
      <c r="CS232" s="2076"/>
      <c r="CT232" s="2076"/>
      <c r="CU232" s="2076"/>
      <c r="CV232" s="2076"/>
      <c r="CW232" s="2076"/>
      <c r="CX232" s="2076"/>
      <c r="CY232" s="2076"/>
      <c r="CZ232" s="2076"/>
      <c r="DA232" s="2076"/>
      <c r="DB232" s="2076"/>
      <c r="DC232" s="2076"/>
      <c r="DD232" s="2076"/>
      <c r="DE232" s="2076"/>
      <c r="DF232" s="2076"/>
      <c r="DG232" s="2076"/>
      <c r="DH232" s="2076"/>
      <c r="DI232" s="2076"/>
      <c r="DJ232" s="2076"/>
      <c r="DK232" s="2076"/>
      <c r="DL232" s="2076"/>
      <c r="DM232" s="2076"/>
      <c r="DN232" s="2076"/>
      <c r="DO232" s="2076"/>
      <c r="DP232" s="2076"/>
      <c r="DQ232" s="2076"/>
      <c r="DR232" s="2076"/>
      <c r="DS232" s="2076"/>
      <c r="DT232" s="2076"/>
      <c r="DU232" s="2076"/>
      <c r="DV232" s="2076"/>
      <c r="DW232" s="2076"/>
      <c r="DX232" s="2076"/>
      <c r="DY232" s="2076"/>
      <c r="DZ232" s="2076"/>
      <c r="EA232" s="2076"/>
      <c r="EB232" s="2076"/>
      <c r="EC232" s="2076"/>
      <c r="ED232" s="2076"/>
      <c r="EE232" s="2076"/>
      <c r="EF232" s="2076"/>
      <c r="EG232" s="2076"/>
      <c r="EH232" s="2076"/>
      <c r="EI232" s="2076"/>
      <c r="EJ232" s="2076"/>
      <c r="EK232" s="2076"/>
      <c r="EL232" s="2076"/>
      <c r="EM232" s="2076"/>
      <c r="EN232" s="2076"/>
      <c r="EO232" s="2076"/>
      <c r="EP232" s="2076"/>
      <c r="EQ232" s="2076"/>
      <c r="ER232" s="2076"/>
      <c r="ES232" s="2076"/>
      <c r="ET232" s="2076"/>
      <c r="EU232" s="2076"/>
      <c r="EV232" s="2076"/>
      <c r="EW232" s="2076"/>
      <c r="EX232" s="2076"/>
      <c r="EY232" s="2076"/>
      <c r="EZ232" s="2076"/>
      <c r="FA232" s="2076"/>
      <c r="FB232" s="2076"/>
      <c r="FC232" s="2076"/>
      <c r="FD232" s="2076"/>
      <c r="FE232" s="2076"/>
      <c r="FF232" s="2076"/>
      <c r="FG232" s="2076"/>
      <c r="FH232" s="2076"/>
      <c r="FI232" s="2076"/>
      <c r="FJ232" s="2076"/>
      <c r="FK232" s="2076"/>
      <c r="FL232" s="2076"/>
      <c r="FM232" s="2076"/>
      <c r="FN232" s="2076"/>
      <c r="FO232" s="2076"/>
      <c r="FP232" s="2076"/>
      <c r="FQ232" s="2076"/>
      <c r="FR232" s="2076"/>
      <c r="FS232" s="2076"/>
      <c r="FT232" s="2076"/>
      <c r="FU232" s="2076"/>
      <c r="FV232" s="2076"/>
      <c r="FW232" s="2076"/>
      <c r="FX232" s="2076"/>
      <c r="FY232" s="2076"/>
      <c r="FZ232" s="2076"/>
      <c r="GA232" s="2076"/>
      <c r="GB232" s="2076"/>
      <c r="GC232" s="2076"/>
      <c r="GD232" s="2076"/>
      <c r="GE232" s="2076"/>
      <c r="GF232" s="2076"/>
      <c r="GG232" s="2076"/>
      <c r="GH232" s="2076"/>
      <c r="GI232" s="2076"/>
      <c r="GJ232" s="2076"/>
      <c r="GK232" s="2076"/>
      <c r="GL232" s="2076"/>
      <c r="GM232" s="2076"/>
      <c r="GN232" s="2076"/>
      <c r="GO232" s="2076"/>
      <c r="GP232" s="2076"/>
      <c r="GQ232" s="2076"/>
      <c r="GR232" s="2076"/>
      <c r="GS232" s="2076"/>
      <c r="GT232" s="2076"/>
      <c r="GU232" s="2076"/>
      <c r="GV232" s="2076"/>
      <c r="GW232" s="2076"/>
      <c r="GX232" s="2076"/>
      <c r="GY232" s="2076"/>
      <c r="GZ232" s="2076"/>
      <c r="HA232" s="2076"/>
      <c r="HB232" s="2076"/>
      <c r="HC232" s="2076"/>
      <c r="HD232" s="2076"/>
      <c r="HE232" s="2076"/>
      <c r="HF232" s="2076"/>
      <c r="HG232" s="2076"/>
      <c r="HH232" s="2076"/>
      <c r="HI232" s="2076"/>
      <c r="HJ232" s="2076"/>
      <c r="HK232" s="2076"/>
      <c r="HL232" s="2076"/>
      <c r="HM232" s="2076"/>
      <c r="HN232" s="2076"/>
      <c r="HO232" s="2076"/>
      <c r="HP232" s="2076"/>
      <c r="HQ232" s="2076"/>
      <c r="HR232" s="2076"/>
      <c r="HS232" s="2076"/>
      <c r="HT232" s="2076"/>
      <c r="HU232" s="2076"/>
      <c r="HV232" s="2076"/>
      <c r="HW232" s="2076"/>
      <c r="HX232" s="2076"/>
      <c r="HY232" s="2076"/>
      <c r="HZ232" s="2076"/>
      <c r="IA232" s="2076"/>
      <c r="IB232" s="2076"/>
      <c r="IC232" s="2076"/>
      <c r="ID232" s="2076"/>
      <c r="IE232" s="2076"/>
      <c r="IF232" s="2076"/>
      <c r="IG232" s="2076"/>
      <c r="IH232" s="2076"/>
      <c r="II232" s="2076"/>
      <c r="IJ232" s="2076"/>
      <c r="IK232" s="2076"/>
      <c r="IL232" s="2076"/>
      <c r="IM232" s="2076"/>
      <c r="IN232" s="2076"/>
      <c r="IO232" s="2076"/>
      <c r="IP232" s="2076"/>
      <c r="IQ232" s="2076"/>
      <c r="IR232" s="2076"/>
      <c r="IS232" s="2076"/>
      <c r="IT232" s="2076"/>
      <c r="IU232" s="2076"/>
      <c r="IV232" s="2076"/>
      <c r="IW232" s="2076"/>
      <c r="IX232" s="2076"/>
      <c r="IY232" s="2076"/>
      <c r="IZ232" s="2076"/>
      <c r="JA232" s="2076"/>
      <c r="JB232" s="2076"/>
      <c r="JC232" s="2076"/>
      <c r="JD232" s="2076"/>
      <c r="JE232" s="2076"/>
      <c r="JF232" s="2076"/>
      <c r="JG232" s="2076"/>
      <c r="JH232" s="2076"/>
      <c r="JI232" s="2076"/>
      <c r="JJ232" s="2076"/>
      <c r="JK232" s="2076"/>
      <c r="JL232" s="2076"/>
      <c r="JM232" s="2076"/>
      <c r="JN232" s="2076"/>
      <c r="JO232" s="2076"/>
      <c r="JP232" s="2076"/>
      <c r="JQ232" s="2076"/>
      <c r="JR232" s="2076"/>
      <c r="JS232" s="2076"/>
      <c r="JT232" s="2076"/>
      <c r="JU232" s="2076"/>
      <c r="JV232" s="2076"/>
      <c r="JW232" s="2076"/>
      <c r="JX232" s="2076"/>
      <c r="JY232" s="2076"/>
      <c r="JZ232" s="2076"/>
      <c r="KA232" s="2076"/>
      <c r="KB232" s="2076"/>
      <c r="KC232" s="2076"/>
      <c r="KD232" s="2076"/>
      <c r="KE232" s="2076"/>
      <c r="KF232" s="2076"/>
      <c r="KG232" s="2076"/>
      <c r="KH232" s="2076"/>
      <c r="KI232" s="2076"/>
      <c r="KJ232" s="2076"/>
      <c r="KK232" s="2076"/>
      <c r="KL232" s="2076"/>
      <c r="KM232" s="2076"/>
      <c r="KN232" s="2076"/>
      <c r="KO232" s="2076"/>
      <c r="KP232" s="2076"/>
      <c r="KQ232" s="2076"/>
      <c r="KR232" s="2076"/>
      <c r="KS232" s="2076"/>
      <c r="KT232" s="2076"/>
      <c r="KU232" s="2076"/>
      <c r="KV232" s="2076"/>
      <c r="KW232" s="2076"/>
      <c r="KX232" s="2076"/>
      <c r="KY232" s="2076"/>
      <c r="KZ232" s="2076"/>
      <c r="LA232" s="2076"/>
      <c r="LB232" s="2076"/>
      <c r="LC232" s="2076"/>
      <c r="LD232" s="2076"/>
      <c r="LE232" s="2076"/>
      <c r="LF232" s="2076"/>
      <c r="LG232" s="2076"/>
      <c r="LH232" s="2076"/>
      <c r="LI232" s="2076"/>
      <c r="LJ232" s="2076"/>
      <c r="LK232" s="2076"/>
      <c r="LL232" s="2076"/>
      <c r="LM232" s="2076"/>
      <c r="LN232" s="2076"/>
      <c r="LO232" s="2076"/>
      <c r="LP232" s="2076"/>
      <c r="LQ232" s="2076"/>
      <c r="LR232" s="2076"/>
      <c r="LS232" s="2076"/>
      <c r="LT232" s="2076"/>
      <c r="LU232" s="2076"/>
      <c r="LV232" s="2076"/>
      <c r="LW232" s="2076"/>
      <c r="LX232" s="2076"/>
      <c r="LY232" s="2076"/>
      <c r="LZ232" s="2076"/>
      <c r="MA232" s="2076"/>
      <c r="MB232" s="2076"/>
      <c r="MC232" s="2076"/>
      <c r="MD232" s="2076"/>
      <c r="ME232" s="2076"/>
      <c r="MF232" s="2076"/>
      <c r="MG232" s="2076"/>
      <c r="MH232" s="2076"/>
      <c r="MI232" s="2076"/>
      <c r="MJ232" s="2076"/>
      <c r="MK232" s="2076"/>
      <c r="ML232" s="2076"/>
      <c r="MM232" s="2076"/>
      <c r="MN232" s="2076"/>
      <c r="MO232" s="2076"/>
      <c r="MP232" s="2076"/>
      <c r="MQ232" s="2076"/>
      <c r="MR232" s="2076"/>
      <c r="MS232" s="2076"/>
      <c r="MT232" s="2076"/>
      <c r="MU232" s="2076"/>
      <c r="MV232" s="2076"/>
      <c r="MW232" s="2076"/>
      <c r="MX232" s="2076"/>
      <c r="MY232" s="2076"/>
      <c r="MZ232" s="2076"/>
      <c r="NA232" s="2076"/>
      <c r="NB232" s="2076"/>
      <c r="NC232" s="2076"/>
      <c r="ND232" s="2076"/>
      <c r="NE232" s="2076"/>
      <c r="NF232" s="2076"/>
      <c r="NG232" s="2076"/>
      <c r="NH232" s="2076"/>
      <c r="NI232" s="2076"/>
      <c r="NJ232" s="2076"/>
      <c r="NK232" s="2076"/>
      <c r="NL232" s="2076"/>
      <c r="NM232" s="2076"/>
      <c r="NN232" s="2076"/>
      <c r="NO232" s="2076"/>
      <c r="NP232" s="2076"/>
      <c r="NQ232" s="2076"/>
      <c r="NR232" s="2076"/>
      <c r="NS232" s="2076"/>
      <c r="NT232" s="2076"/>
      <c r="NU232" s="2076"/>
      <c r="NV232" s="2076"/>
      <c r="NW232" s="2076"/>
      <c r="NX232" s="2076"/>
      <c r="NY232" s="2076"/>
      <c r="NZ232" s="2076"/>
      <c r="OA232" s="2076"/>
      <c r="OB232" s="2076"/>
      <c r="OC232" s="2076"/>
      <c r="OD232" s="2076"/>
      <c r="OE232" s="2076"/>
      <c r="OF232" s="2076"/>
      <c r="OG232" s="2076"/>
      <c r="OH232" s="2076"/>
      <c r="OI232" s="2076"/>
      <c r="OJ232" s="2076"/>
      <c r="OK232" s="2076"/>
      <c r="OL232" s="2076"/>
      <c r="OM232" s="2076"/>
      <c r="ON232" s="2076"/>
      <c r="OO232" s="2076"/>
      <c r="OP232" s="2076"/>
      <c r="OQ232" s="2076"/>
      <c r="OR232" s="2076"/>
      <c r="OS232" s="2076"/>
      <c r="OT232" s="2076"/>
      <c r="OU232" s="2076"/>
      <c r="OV232" s="2076"/>
      <c r="OW232" s="2076"/>
      <c r="OX232" s="2076"/>
      <c r="OY232" s="2076"/>
      <c r="OZ232" s="2076"/>
      <c r="PA232" s="2076"/>
      <c r="PB232" s="2076"/>
      <c r="PC232" s="2076"/>
      <c r="PD232" s="2076"/>
      <c r="PE232" s="2076"/>
      <c r="PF232" s="2076"/>
      <c r="PG232" s="2076"/>
      <c r="PH232" s="2076"/>
      <c r="PI232" s="2076"/>
      <c r="PJ232" s="2076"/>
      <c r="PK232" s="2076"/>
      <c r="PL232" s="2076"/>
      <c r="PM232" s="2076"/>
      <c r="PN232" s="2076"/>
      <c r="PO232" s="2076"/>
      <c r="PP232" s="2076"/>
      <c r="PQ232" s="2076"/>
      <c r="PR232" s="2076"/>
      <c r="PS232" s="2076"/>
      <c r="PT232" s="2076"/>
      <c r="PU232" s="2076"/>
      <c r="PV232" s="2076"/>
      <c r="PW232" s="2076"/>
      <c r="PX232" s="2076"/>
      <c r="PY232" s="2076"/>
      <c r="PZ232" s="2076"/>
      <c r="QA232" s="2076"/>
      <c r="QB232" s="2076"/>
      <c r="QC232" s="2076"/>
      <c r="QD232" s="2076"/>
      <c r="QE232" s="2076"/>
      <c r="QF232" s="2076"/>
      <c r="QG232" s="2076"/>
      <c r="QH232" s="2076"/>
      <c r="QI232" s="2076"/>
      <c r="QJ232" s="2076"/>
      <c r="QK232" s="2076"/>
      <c r="QL232" s="2076"/>
      <c r="QM232" s="2076"/>
      <c r="QN232" s="2076"/>
      <c r="QO232" s="2076"/>
      <c r="QP232" s="2076"/>
      <c r="QQ232" s="2076"/>
      <c r="QR232" s="2076"/>
      <c r="QS232" s="2076"/>
      <c r="QT232" s="2076"/>
      <c r="QU232" s="2076"/>
      <c r="QV232" s="2076"/>
      <c r="QW232" s="2076"/>
      <c r="QX232" s="2076"/>
      <c r="QY232" s="2076"/>
      <c r="QZ232" s="2076"/>
      <c r="RA232" s="2076"/>
      <c r="RB232" s="2076"/>
      <c r="RC232" s="2076"/>
      <c r="RD232" s="2076"/>
      <c r="RE232" s="2076"/>
      <c r="RF232" s="2076"/>
      <c r="RG232" s="2076"/>
      <c r="RH232" s="2076"/>
      <c r="RI232" s="2076"/>
      <c r="RJ232" s="2076"/>
      <c r="RK232" s="2076"/>
      <c r="RL232" s="2076"/>
      <c r="RM232" s="2076"/>
      <c r="RN232" s="2076"/>
      <c r="RO232" s="2076"/>
      <c r="RP232" s="2076"/>
      <c r="RQ232" s="2076"/>
      <c r="RR232" s="2076"/>
      <c r="RS232" s="2076"/>
      <c r="RT232" s="2076"/>
      <c r="RU232" s="2076"/>
      <c r="RV232" s="2076"/>
      <c r="RW232" s="2076"/>
      <c r="RX232" s="2076"/>
      <c r="RY232" s="2076"/>
      <c r="RZ232" s="2076"/>
      <c r="SA232" s="2076"/>
      <c r="SB232" s="2076"/>
      <c r="SC232" s="2076"/>
      <c r="SD232" s="2076"/>
      <c r="SE232" s="2076"/>
      <c r="SF232" s="2076"/>
      <c r="SG232" s="2076"/>
      <c r="SH232" s="2076"/>
      <c r="SI232" s="2076"/>
      <c r="SJ232" s="2076"/>
      <c r="SK232" s="2076"/>
      <c r="SL232" s="2076"/>
      <c r="SM232" s="2076"/>
      <c r="SN232" s="2076"/>
      <c r="SO232" s="2076"/>
      <c r="SP232" s="2076"/>
      <c r="SQ232" s="2076"/>
      <c r="SR232" s="2076"/>
      <c r="SS232" s="2076"/>
      <c r="ST232" s="2076"/>
      <c r="SU232" s="2076"/>
      <c r="SV232" s="2076"/>
      <c r="SW232" s="2076"/>
      <c r="SX232" s="2076"/>
      <c r="SY232" s="2076"/>
      <c r="SZ232" s="2076"/>
      <c r="TA232" s="2076"/>
      <c r="TB232" s="2076"/>
      <c r="TC232" s="2076"/>
      <c r="TD232" s="2076"/>
      <c r="TE232" s="2076"/>
      <c r="TF232" s="2076"/>
      <c r="TG232" s="2076"/>
      <c r="TH232" s="2076"/>
      <c r="TI232" s="2076"/>
      <c r="TJ232" s="2076"/>
      <c r="TK232" s="2076"/>
      <c r="TL232" s="2076"/>
      <c r="TM232" s="2076"/>
      <c r="TN232" s="2076"/>
      <c r="TO232" s="2076"/>
      <c r="TP232" s="2076"/>
      <c r="TQ232" s="2076"/>
      <c r="TR232" s="2076"/>
      <c r="TS232" s="2076"/>
      <c r="TT232" s="2076"/>
      <c r="TU232" s="2076"/>
      <c r="TV232" s="2076"/>
      <c r="TW232" s="2076"/>
      <c r="TX232" s="2076"/>
      <c r="TY232" s="2076"/>
      <c r="TZ232" s="2076"/>
      <c r="UA232" s="2076"/>
      <c r="UB232" s="2076"/>
      <c r="UC232" s="2076"/>
      <c r="UD232" s="2076"/>
      <c r="UE232" s="2076"/>
      <c r="UF232" s="2076"/>
      <c r="UG232" s="2076"/>
      <c r="UH232" s="2076"/>
      <c r="UI232" s="2076"/>
      <c r="UJ232" s="2076"/>
      <c r="UK232" s="2076"/>
      <c r="UL232" s="2076"/>
      <c r="UM232" s="2076"/>
      <c r="UN232" s="2076"/>
      <c r="UO232" s="2076"/>
      <c r="UP232" s="2076"/>
      <c r="UQ232" s="2076"/>
      <c r="UR232" s="2076"/>
      <c r="US232" s="2076"/>
      <c r="UT232" s="2076"/>
      <c r="UU232" s="2076"/>
      <c r="UV232" s="2076"/>
      <c r="UW232" s="2076"/>
      <c r="UX232" s="2076"/>
      <c r="UY232" s="2076"/>
      <c r="UZ232" s="2076"/>
      <c r="VA232" s="2076"/>
      <c r="VB232" s="2076"/>
      <c r="VC232" s="2076"/>
      <c r="VD232" s="2076"/>
      <c r="VE232" s="2076"/>
      <c r="VF232" s="2076"/>
      <c r="VG232" s="2076"/>
      <c r="VH232" s="2076"/>
      <c r="VI232" s="2076"/>
      <c r="VJ232" s="2076"/>
      <c r="VK232" s="2076"/>
      <c r="VL232" s="2076"/>
      <c r="VM232" s="2076"/>
      <c r="VN232" s="2076"/>
      <c r="VO232" s="2076"/>
      <c r="VP232" s="2076"/>
      <c r="VQ232" s="2076"/>
      <c r="VR232" s="2076"/>
      <c r="VS232" s="2076"/>
      <c r="VT232" s="2076"/>
      <c r="VU232" s="2076"/>
      <c r="VV232" s="2076"/>
      <c r="VW232" s="2076"/>
      <c r="VX232" s="2076"/>
      <c r="VY232" s="2076"/>
      <c r="VZ232" s="2076"/>
      <c r="WA232" s="2076"/>
      <c r="WB232" s="2076"/>
      <c r="WC232" s="2076"/>
      <c r="WD232" s="2076"/>
      <c r="WE232" s="2076"/>
      <c r="WF232" s="2076"/>
      <c r="WG232" s="2076"/>
      <c r="WH232" s="2076"/>
      <c r="WI232" s="2076"/>
      <c r="WJ232" s="2076"/>
      <c r="WK232" s="2076"/>
      <c r="WL232" s="2076"/>
      <c r="WM232" s="2076"/>
      <c r="WN232" s="2076"/>
      <c r="WO232" s="2076"/>
      <c r="WP232" s="2076"/>
      <c r="WQ232" s="2076"/>
      <c r="WR232" s="2076"/>
      <c r="WS232" s="2076"/>
      <c r="WT232" s="2076"/>
      <c r="WU232" s="2076"/>
      <c r="WV232" s="2076"/>
      <c r="WW232" s="2076"/>
      <c r="WX232" s="2076"/>
      <c r="WY232" s="2076"/>
      <c r="WZ232" s="2076"/>
      <c r="XA232" s="2076"/>
      <c r="XB232" s="2076"/>
      <c r="XC232" s="2076"/>
      <c r="XD232" s="2076"/>
      <c r="XE232" s="2076"/>
      <c r="XF232" s="2076"/>
      <c r="XG232" s="2076"/>
      <c r="XH232" s="2076"/>
      <c r="XI232" s="2076"/>
      <c r="XJ232" s="2076"/>
      <c r="XK232" s="2076"/>
      <c r="XL232" s="2076"/>
      <c r="XM232" s="2076"/>
      <c r="XN232" s="2076"/>
      <c r="XO232" s="2076"/>
      <c r="XP232" s="2076"/>
      <c r="XQ232" s="2076"/>
      <c r="XR232" s="2076"/>
      <c r="XS232" s="2076"/>
      <c r="XT232" s="2076"/>
      <c r="XU232" s="2076"/>
      <c r="XV232" s="2076"/>
      <c r="XW232" s="2076"/>
      <c r="XX232" s="2076"/>
      <c r="XY232" s="2076"/>
      <c r="XZ232" s="2076"/>
      <c r="YA232" s="2076"/>
      <c r="YB232" s="2076"/>
      <c r="YC232" s="2076"/>
      <c r="YD232" s="2076"/>
      <c r="YE232" s="2076"/>
      <c r="YF232" s="2076"/>
      <c r="YG232" s="2076"/>
      <c r="YH232" s="2076"/>
      <c r="YI232" s="2076"/>
      <c r="YJ232" s="2076"/>
      <c r="YK232" s="2076"/>
      <c r="YL232" s="2076"/>
      <c r="YM232" s="2076"/>
      <c r="YN232" s="2076"/>
      <c r="YO232" s="2076"/>
      <c r="YP232" s="2076"/>
      <c r="YQ232" s="2076"/>
      <c r="YR232" s="2076"/>
      <c r="YS232" s="2076"/>
      <c r="YT232" s="2076"/>
      <c r="YU232" s="2076"/>
      <c r="YV232" s="2076"/>
      <c r="YW232" s="2076"/>
      <c r="YX232" s="2076"/>
      <c r="YY232" s="2076"/>
      <c r="YZ232" s="2076"/>
      <c r="ZA232" s="2076"/>
      <c r="ZB232" s="2076"/>
      <c r="ZC232" s="2076"/>
      <c r="ZD232" s="2076"/>
      <c r="ZE232" s="2076"/>
      <c r="ZF232" s="2076"/>
      <c r="ZG232" s="2076"/>
      <c r="ZH232" s="2076"/>
      <c r="ZI232" s="2076"/>
      <c r="ZJ232" s="2076"/>
      <c r="ZK232" s="2076"/>
      <c r="ZL232" s="2076"/>
      <c r="ZM232" s="2076"/>
      <c r="ZN232" s="2076"/>
      <c r="ZO232" s="2076"/>
      <c r="ZP232" s="2076"/>
      <c r="ZQ232" s="2076"/>
      <c r="ZR232" s="2076"/>
      <c r="ZS232" s="2076"/>
      <c r="ZT232" s="2076"/>
      <c r="ZU232" s="2076"/>
      <c r="ZV232" s="2076"/>
      <c r="ZW232" s="2076"/>
      <c r="ZX232" s="2076"/>
      <c r="ZY232" s="2076"/>
      <c r="ZZ232" s="2076"/>
      <c r="AAA232" s="2076"/>
      <c r="AAB232" s="2076"/>
      <c r="AAC232" s="2076"/>
      <c r="AAD232" s="2076"/>
      <c r="AAE232" s="2076"/>
      <c r="AAF232" s="2076"/>
      <c r="AAG232" s="2076"/>
      <c r="AAH232" s="2076"/>
      <c r="AAI232" s="2076"/>
      <c r="AAJ232" s="2076"/>
      <c r="AAK232" s="2076"/>
      <c r="AAL232" s="2076"/>
      <c r="AAM232" s="2076"/>
      <c r="AAN232" s="2076"/>
      <c r="AAO232" s="2076"/>
      <c r="AAP232" s="2076"/>
      <c r="AAQ232" s="2076"/>
      <c r="AAR232" s="2076"/>
      <c r="AAS232" s="2076"/>
      <c r="AAT232" s="2076"/>
      <c r="AAU232" s="2076"/>
      <c r="AAV232" s="2076"/>
      <c r="AAW232" s="2076"/>
      <c r="AAX232" s="2076"/>
      <c r="AAY232" s="2076"/>
      <c r="AAZ232" s="2076"/>
      <c r="ABA232" s="2076"/>
      <c r="ABB232" s="2076"/>
      <c r="ABC232" s="2076"/>
      <c r="ABD232" s="2076"/>
      <c r="ABE232" s="2076"/>
      <c r="ABF232" s="2076"/>
      <c r="ABG232" s="2076"/>
      <c r="ABH232" s="2076"/>
      <c r="ABI232" s="2076"/>
      <c r="ABJ232" s="2076"/>
      <c r="ABK232" s="2076"/>
      <c r="ABL232" s="2076"/>
      <c r="ABM232" s="2076"/>
      <c r="ABN232" s="2076"/>
      <c r="ABO232" s="2076"/>
      <c r="ABP232" s="2076"/>
      <c r="ABQ232" s="2076"/>
      <c r="ABR232" s="2076"/>
      <c r="ABS232" s="2076"/>
      <c r="ABT232" s="2076"/>
      <c r="ABU232" s="2076"/>
      <c r="ABV232" s="2076"/>
      <c r="ABW232" s="2076"/>
      <c r="ABX232" s="2076"/>
      <c r="ABY232" s="2076"/>
      <c r="ABZ232" s="2076"/>
      <c r="ACA232" s="2076"/>
      <c r="ACB232" s="2076"/>
      <c r="ACC232" s="2076"/>
      <c r="ACD232" s="2076"/>
      <c r="ACE232" s="2076"/>
      <c r="ACF232" s="2076"/>
      <c r="ACG232" s="2076"/>
      <c r="ACH232" s="2076"/>
      <c r="ACI232" s="2076"/>
      <c r="ACJ232" s="2076"/>
      <c r="ACK232" s="2076"/>
      <c r="ACL232" s="2076"/>
      <c r="ACM232" s="2076"/>
      <c r="ACN232" s="2076"/>
      <c r="ACO232" s="2076"/>
      <c r="ACP232" s="2076"/>
      <c r="ACQ232" s="2076"/>
      <c r="ACR232" s="2076"/>
      <c r="ACS232" s="2076"/>
      <c r="ACT232" s="2076"/>
      <c r="ACU232" s="2076"/>
      <c r="ACV232" s="2076"/>
      <c r="ACW232" s="2076"/>
      <c r="ACX232" s="2076"/>
      <c r="ACY232" s="2076"/>
      <c r="ACZ232" s="2076"/>
      <c r="ADA232" s="2076"/>
      <c r="ADB232" s="2076"/>
      <c r="ADC232" s="2076"/>
      <c r="ADD232" s="2076"/>
      <c r="ADE232" s="2076"/>
      <c r="ADF232" s="2076"/>
      <c r="ADG232" s="2076"/>
      <c r="ADH232" s="2076"/>
      <c r="ADI232" s="2076"/>
      <c r="ADJ232" s="2076"/>
      <c r="ADK232" s="2076"/>
      <c r="ADL232" s="2076"/>
      <c r="ADM232" s="2076"/>
      <c r="ADN232" s="2076"/>
      <c r="ADO232" s="2076"/>
      <c r="ADP232" s="2076"/>
      <c r="ADQ232" s="2076"/>
      <c r="ADR232" s="2076"/>
      <c r="ADS232" s="2076"/>
      <c r="ADT232" s="2076"/>
      <c r="ADU232" s="2076"/>
      <c r="ADV232" s="2076"/>
      <c r="ADW232" s="2076"/>
      <c r="ADX232" s="2076"/>
      <c r="ADY232" s="2076"/>
      <c r="ADZ232" s="2076"/>
      <c r="AEA232" s="2076"/>
      <c r="AEB232" s="2076"/>
      <c r="AEC232" s="2076"/>
      <c r="AED232" s="2076"/>
      <c r="AEE232" s="2076"/>
      <c r="AEF232" s="2076"/>
      <c r="AEG232" s="2076"/>
      <c r="AEH232" s="2076"/>
      <c r="AEI232" s="2076"/>
      <c r="AEJ232" s="2076"/>
      <c r="AEK232" s="2076"/>
      <c r="AEL232" s="2076"/>
      <c r="AEM232" s="2076"/>
      <c r="AEN232" s="2076"/>
      <c r="AEO232" s="2076"/>
      <c r="AEP232" s="2076"/>
      <c r="AEQ232" s="2076"/>
      <c r="AER232" s="2076"/>
      <c r="AES232" s="2076"/>
      <c r="AET232" s="2076"/>
      <c r="AEU232" s="2076"/>
      <c r="AEV232" s="2076"/>
      <c r="AEW232" s="2076"/>
      <c r="AEX232" s="2076"/>
      <c r="AEY232" s="2076"/>
      <c r="AEZ232" s="2076"/>
      <c r="AFA232" s="2076"/>
      <c r="AFB232" s="2076"/>
      <c r="AFC232" s="2076"/>
      <c r="AFD232" s="2076"/>
      <c r="AFE232" s="2076"/>
      <c r="AFF232" s="2076"/>
      <c r="AFG232" s="2076"/>
      <c r="AFH232" s="2076"/>
      <c r="AFI232" s="2076"/>
      <c r="AFJ232" s="2076"/>
      <c r="AFK232" s="2076"/>
      <c r="AFL232" s="2076"/>
      <c r="AFM232" s="2076"/>
      <c r="AFN232" s="2076"/>
      <c r="AFO232" s="2076"/>
      <c r="AFP232" s="2076"/>
      <c r="AFQ232" s="2076"/>
      <c r="AFR232" s="2076"/>
      <c r="AFS232" s="2076"/>
      <c r="AFT232" s="2076"/>
      <c r="AFU232" s="2076"/>
      <c r="AFV232" s="2076"/>
      <c r="AFW232" s="2076"/>
      <c r="AFX232" s="2076"/>
      <c r="AFY232" s="2076"/>
      <c r="AFZ232" s="2076"/>
      <c r="AGA232" s="2076"/>
      <c r="AGB232" s="2076"/>
      <c r="AGC232" s="2076"/>
      <c r="AGD232" s="2076"/>
      <c r="AGE232" s="2076"/>
      <c r="AGF232" s="2076"/>
      <c r="AGG232" s="2076"/>
      <c r="AGH232" s="2076"/>
      <c r="AGI232" s="2076"/>
      <c r="AGJ232" s="2076"/>
      <c r="AGK232" s="2076"/>
      <c r="AGL232" s="2076"/>
      <c r="AGM232" s="2076"/>
      <c r="AGN232" s="2076"/>
      <c r="AGO232" s="2076"/>
      <c r="AGP232" s="2076"/>
      <c r="AGQ232" s="2076"/>
      <c r="AGR232" s="2076"/>
      <c r="AGS232" s="2076"/>
      <c r="AGT232" s="2076"/>
      <c r="AGU232" s="2076"/>
      <c r="AGV232" s="2076"/>
      <c r="AGW232" s="2076"/>
      <c r="AGX232" s="2076"/>
      <c r="AGY232" s="2076"/>
      <c r="AGZ232" s="2076"/>
      <c r="AHA232" s="2076"/>
      <c r="AHB232" s="2076"/>
      <c r="AHC232" s="2076"/>
      <c r="AHD232" s="2076"/>
      <c r="AHE232" s="2076"/>
      <c r="AHF232" s="2076"/>
      <c r="AHG232" s="2076"/>
      <c r="AHH232" s="2076"/>
      <c r="AHI232" s="2076"/>
      <c r="AHJ232" s="2076"/>
      <c r="AHK232" s="2076"/>
      <c r="AHL232" s="2076"/>
      <c r="AHM232" s="2076"/>
      <c r="AHN232" s="2076"/>
      <c r="AHO232" s="2076"/>
      <c r="AHP232" s="2076"/>
      <c r="AHQ232" s="2076"/>
      <c r="AHR232" s="2076"/>
      <c r="AHS232" s="2076"/>
      <c r="AHT232" s="2076"/>
      <c r="AHU232" s="2076"/>
      <c r="AHV232" s="2076"/>
      <c r="AHW232" s="2076"/>
      <c r="AHX232" s="2076"/>
      <c r="AHY232" s="2076"/>
      <c r="AHZ232" s="2076"/>
      <c r="AIA232" s="2076"/>
      <c r="AIB232" s="2076"/>
      <c r="AIC232" s="2076"/>
      <c r="AID232" s="2076"/>
      <c r="AIE232" s="2076"/>
      <c r="AIF232" s="2076"/>
      <c r="AIG232" s="2076"/>
      <c r="AIH232" s="2076"/>
      <c r="AII232" s="2076"/>
      <c r="AIJ232" s="2076"/>
      <c r="AIK232" s="2076"/>
      <c r="AIL232" s="2076"/>
      <c r="AIM232" s="2076"/>
      <c r="AIN232" s="2076"/>
      <c r="AIO232" s="2076"/>
      <c r="AIP232" s="2076"/>
      <c r="AIQ232" s="2076"/>
      <c r="AIR232" s="2076"/>
      <c r="AIS232" s="2076"/>
      <c r="AIT232" s="2076"/>
      <c r="AIU232" s="2076"/>
      <c r="AIV232" s="2076"/>
      <c r="AIW232" s="2076"/>
      <c r="AIX232" s="2076"/>
      <c r="AIY232" s="2076"/>
      <c r="AIZ232" s="2076"/>
      <c r="AJA232" s="2076"/>
      <c r="AJB232" s="2076"/>
      <c r="AJC232" s="2076"/>
      <c r="AJD232" s="2076"/>
      <c r="AJE232" s="2076"/>
      <c r="AJF232" s="2076"/>
      <c r="AJG232" s="2076"/>
      <c r="AJH232" s="2076"/>
      <c r="AJI232" s="2076"/>
      <c r="AJJ232" s="2076"/>
      <c r="AJK232" s="2076"/>
      <c r="AJL232" s="2076"/>
      <c r="AJM232" s="2076"/>
      <c r="AJN232" s="2076"/>
      <c r="AJO232" s="2076"/>
      <c r="AJP232" s="2076"/>
      <c r="AJQ232" s="2076"/>
      <c r="AJR232" s="2076"/>
      <c r="AJS232" s="2076"/>
      <c r="AJT232" s="2076"/>
      <c r="AJU232" s="2076"/>
      <c r="AJV232" s="2076"/>
      <c r="AJW232" s="2076"/>
      <c r="AJX232" s="2076"/>
      <c r="AJY232" s="2076"/>
      <c r="AJZ232" s="2076"/>
      <c r="AKA232" s="2076"/>
      <c r="AKB232" s="2076"/>
      <c r="AKC232" s="2076"/>
      <c r="AKD232" s="2076"/>
      <c r="AKE232" s="2076"/>
      <c r="AKF232" s="2076"/>
      <c r="AKG232" s="2076"/>
      <c r="AKH232" s="2076"/>
      <c r="AKI232" s="2076"/>
      <c r="AKJ232" s="2076"/>
      <c r="AKK232" s="2076"/>
      <c r="AKL232" s="2076"/>
      <c r="AKM232" s="2076"/>
      <c r="AKN232" s="2076"/>
      <c r="AKO232" s="2076"/>
      <c r="AKP232" s="2076"/>
      <c r="AKQ232" s="2076"/>
      <c r="AKR232" s="2076"/>
      <c r="AKS232" s="2076"/>
      <c r="AKT232" s="2076"/>
      <c r="AKU232" s="2076"/>
      <c r="AKV232" s="2076"/>
      <c r="AKW232" s="2076"/>
      <c r="AKX232" s="2076"/>
      <c r="AKY232" s="2076"/>
      <c r="AKZ232" s="2076"/>
      <c r="ALA232" s="2076"/>
      <c r="ALB232" s="2076"/>
      <c r="ALC232" s="2076"/>
      <c r="ALD232" s="2076"/>
      <c r="ALE232" s="2076"/>
      <c r="ALF232" s="2076"/>
      <c r="ALG232" s="2076"/>
      <c r="ALH232" s="2076"/>
      <c r="ALI232" s="2076"/>
      <c r="ALJ232" s="2076"/>
      <c r="ALK232" s="2076"/>
      <c r="ALL232" s="2076"/>
      <c r="ALM232" s="2076"/>
      <c r="ALN232" s="2076"/>
      <c r="ALO232" s="2076"/>
      <c r="ALP232" s="2076"/>
      <c r="ALQ232" s="2076"/>
      <c r="ALR232" s="2076"/>
      <c r="ALS232" s="2076"/>
      <c r="ALT232" s="2076"/>
      <c r="ALU232" s="2076"/>
      <c r="ALV232" s="2076"/>
      <c r="ALW232" s="2076"/>
      <c r="ALX232" s="2076"/>
      <c r="ALY232" s="2076"/>
      <c r="ALZ232" s="2076"/>
      <c r="AMA232" s="2076"/>
      <c r="AMB232" s="2076"/>
      <c r="AMC232" s="2076"/>
      <c r="AMD232" s="2076"/>
      <c r="AME232" s="2076"/>
      <c r="AMF232" s="2076"/>
      <c r="AMG232" s="2076"/>
      <c r="AMH232" s="2076"/>
      <c r="AMI232" s="2076"/>
      <c r="AMJ232" s="2076"/>
      <c r="AMK232" s="2076"/>
      <c r="AML232" s="2076"/>
      <c r="AMM232" s="2076"/>
      <c r="AMN232" s="2076"/>
      <c r="AMO232" s="2076"/>
      <c r="AMP232" s="2076"/>
      <c r="AMQ232" s="2076"/>
      <c r="AMR232" s="2076"/>
      <c r="AMS232" s="2076"/>
      <c r="AMT232" s="2076"/>
      <c r="AMU232" s="2076"/>
      <c r="AMV232" s="2076"/>
      <c r="AMW232" s="2076"/>
      <c r="AMX232" s="2076"/>
      <c r="AMY232" s="2076"/>
      <c r="AMZ232" s="2076"/>
      <c r="ANA232" s="2076"/>
      <c r="ANB232" s="2076"/>
      <c r="ANC232" s="2076"/>
      <c r="AND232" s="2076"/>
      <c r="ANE232" s="2076"/>
      <c r="ANF232" s="2076"/>
      <c r="ANG232" s="2076"/>
      <c r="ANH232" s="2076"/>
      <c r="ANI232" s="2076"/>
      <c r="ANJ232" s="2076"/>
      <c r="ANK232" s="2076"/>
      <c r="ANL232" s="2076"/>
      <c r="ANM232" s="2076"/>
      <c r="ANN232" s="2076"/>
      <c r="ANO232" s="2076"/>
      <c r="ANP232" s="2076"/>
      <c r="ANQ232" s="2076"/>
      <c r="ANR232" s="2076"/>
      <c r="ANS232" s="2076"/>
      <c r="ANT232" s="2076"/>
      <c r="ANU232" s="2076"/>
      <c r="ANV232" s="2076"/>
      <c r="ANW232" s="2076"/>
      <c r="ANX232" s="2076"/>
      <c r="ANY232" s="2076"/>
      <c r="ANZ232" s="2076"/>
      <c r="AOA232" s="2076"/>
      <c r="AOB232" s="2076"/>
      <c r="AOC232" s="2076"/>
      <c r="AOD232" s="2076"/>
      <c r="AOE232" s="2076"/>
      <c r="AOF232" s="2076"/>
      <c r="AOG232" s="2076"/>
      <c r="AOH232" s="2076"/>
      <c r="AOI232" s="2076"/>
      <c r="AOJ232" s="2076"/>
      <c r="AOK232" s="2076"/>
      <c r="AOL232" s="2076"/>
      <c r="AOM232" s="2076"/>
      <c r="AON232" s="2076"/>
      <c r="AOO232" s="2076"/>
      <c r="AOP232" s="2076"/>
      <c r="AOQ232" s="2076"/>
      <c r="AOR232" s="2076"/>
      <c r="AOS232" s="2076"/>
      <c r="AOT232" s="2076"/>
      <c r="AOU232" s="2076"/>
      <c r="AOV232" s="2076"/>
      <c r="AOW232" s="2076"/>
      <c r="AOX232" s="2076"/>
      <c r="AOY232" s="2076"/>
      <c r="AOZ232" s="2076"/>
      <c r="APA232" s="2076"/>
      <c r="APB232" s="2076"/>
      <c r="APC232" s="2076"/>
      <c r="APD232" s="2076"/>
      <c r="APE232" s="2076"/>
      <c r="APF232" s="2076"/>
      <c r="APG232" s="2076"/>
      <c r="APH232" s="2076"/>
      <c r="API232" s="2076"/>
      <c r="APJ232" s="2076"/>
      <c r="APK232" s="2076"/>
      <c r="APL232" s="2076"/>
      <c r="APM232" s="2076"/>
      <c r="APN232" s="2076"/>
      <c r="APO232" s="2076"/>
      <c r="APP232" s="2076"/>
      <c r="APQ232" s="2076"/>
      <c r="APR232" s="2076"/>
      <c r="APS232" s="2076"/>
      <c r="APT232" s="2076"/>
      <c r="APU232" s="2076"/>
      <c r="APV232" s="2076"/>
      <c r="APW232" s="2076"/>
      <c r="APX232" s="2076"/>
      <c r="APY232" s="2076"/>
      <c r="APZ232" s="2076"/>
      <c r="AQA232" s="2076"/>
      <c r="AQB232" s="2076"/>
      <c r="AQC232" s="2076"/>
      <c r="AQD232" s="2076"/>
      <c r="AQE232" s="2076"/>
      <c r="AQF232" s="2076"/>
      <c r="AQG232" s="2076"/>
      <c r="AQH232" s="2076"/>
      <c r="AQI232" s="2076"/>
      <c r="AQJ232" s="2076"/>
      <c r="AQK232" s="2076"/>
      <c r="AQL232" s="2076"/>
      <c r="AQM232" s="2076"/>
      <c r="AQN232" s="2076"/>
      <c r="AQO232" s="2076"/>
      <c r="AQP232" s="2076"/>
      <c r="AQQ232" s="2076"/>
      <c r="AQR232" s="2076"/>
      <c r="AQS232" s="2076"/>
      <c r="AQT232" s="2076"/>
      <c r="AQU232" s="2076"/>
      <c r="AQV232" s="2076"/>
      <c r="AQW232" s="2076"/>
      <c r="AQX232" s="2076"/>
      <c r="AQY232" s="2076"/>
      <c r="AQZ232" s="2076"/>
      <c r="ARA232" s="2076"/>
      <c r="ARB232" s="2076"/>
      <c r="ARC232" s="2076"/>
      <c r="ARD232" s="2076"/>
      <c r="ARE232" s="2076"/>
      <c r="ARF232" s="2076"/>
      <c r="ARG232" s="2076"/>
      <c r="ARH232" s="2076"/>
      <c r="ARI232" s="2076"/>
      <c r="ARJ232" s="2076"/>
      <c r="ARK232" s="2076"/>
      <c r="ARL232" s="2076"/>
      <c r="ARM232" s="2076"/>
      <c r="ARN232" s="2076"/>
      <c r="ARO232" s="2076"/>
      <c r="ARP232" s="2076"/>
      <c r="ARQ232" s="2076"/>
      <c r="ARR232" s="2076"/>
      <c r="ARS232" s="2076"/>
      <c r="ART232" s="2076"/>
      <c r="ARU232" s="2076"/>
      <c r="ARV232" s="2076"/>
      <c r="ARW232" s="2076"/>
      <c r="ARX232" s="2076"/>
      <c r="ARY232" s="2076"/>
      <c r="ARZ232" s="2076"/>
      <c r="ASA232" s="2076"/>
      <c r="ASB232" s="2076"/>
      <c r="ASC232" s="2076"/>
      <c r="ASD232" s="2076"/>
      <c r="ASE232" s="2076"/>
      <c r="ASF232" s="2076"/>
      <c r="ASG232" s="2076"/>
      <c r="ASH232" s="2076"/>
      <c r="ASI232" s="2076"/>
      <c r="ASJ232" s="2076"/>
      <c r="ASK232" s="2076"/>
      <c r="ASL232" s="2076"/>
      <c r="ASM232" s="2076"/>
      <c r="ASN232" s="2076"/>
      <c r="ASO232" s="2076"/>
      <c r="ASP232" s="2076"/>
      <c r="ASQ232" s="2076"/>
      <c r="ASR232" s="2076"/>
      <c r="ASS232" s="2076"/>
      <c r="AST232" s="2076"/>
      <c r="ASU232" s="2076"/>
      <c r="ASV232" s="2076"/>
      <c r="ASW232" s="2076"/>
      <c r="ASX232" s="2076"/>
      <c r="ASY232" s="2076"/>
      <c r="ASZ232" s="2076"/>
      <c r="ATA232" s="2076"/>
      <c r="ATB232" s="2076"/>
      <c r="ATC232" s="2076"/>
      <c r="ATD232" s="2076"/>
      <c r="ATE232" s="2076"/>
      <c r="ATF232" s="2076"/>
      <c r="ATG232" s="2076"/>
      <c r="ATH232" s="2076"/>
      <c r="ATI232" s="2076"/>
      <c r="ATJ232" s="2076"/>
      <c r="ATK232" s="2076"/>
      <c r="ATL232" s="2076"/>
      <c r="ATM232" s="2076"/>
      <c r="ATN232" s="2076"/>
      <c r="ATO232" s="2076"/>
      <c r="ATP232" s="2076"/>
      <c r="ATQ232" s="2076"/>
      <c r="ATR232" s="2076"/>
      <c r="ATS232" s="2076"/>
      <c r="ATT232" s="2076"/>
      <c r="ATU232" s="2076"/>
      <c r="ATV232" s="2076"/>
      <c r="ATW232" s="2076"/>
      <c r="ATX232" s="2076"/>
      <c r="ATY232" s="2076"/>
      <c r="ATZ232" s="2076"/>
      <c r="AUA232" s="2076"/>
      <c r="AUB232" s="2076"/>
      <c r="AUC232" s="2076"/>
      <c r="AUD232" s="2076"/>
      <c r="AUE232" s="2076"/>
      <c r="AUF232" s="2076"/>
      <c r="AUG232" s="2076"/>
      <c r="AUH232" s="2076"/>
      <c r="AUI232" s="2076"/>
      <c r="AUJ232" s="2076"/>
      <c r="AUK232" s="2076"/>
      <c r="AUL232" s="2076"/>
      <c r="AUM232" s="2076"/>
      <c r="AUN232" s="2076"/>
      <c r="AUO232" s="2076"/>
      <c r="AUP232" s="2076"/>
      <c r="AUQ232" s="2076"/>
      <c r="AUR232" s="2076"/>
      <c r="AUS232" s="2076"/>
      <c r="AUT232" s="2076"/>
      <c r="AUU232" s="2076"/>
      <c r="AUV232" s="2076"/>
      <c r="AUW232" s="2076"/>
      <c r="AUX232" s="2076"/>
      <c r="AUY232" s="2076"/>
      <c r="AUZ232" s="2076"/>
      <c r="AVA232" s="2076"/>
      <c r="AVB232" s="2076"/>
      <c r="AVC232" s="2076"/>
      <c r="AVD232" s="2076"/>
      <c r="AVE232" s="2076"/>
      <c r="AVF232" s="2076"/>
      <c r="AVG232" s="2076"/>
      <c r="AVH232" s="2076"/>
      <c r="AVI232" s="2076"/>
      <c r="AVJ232" s="2076"/>
      <c r="AVK232" s="2076"/>
      <c r="AVL232" s="2076"/>
      <c r="AVM232" s="2076"/>
      <c r="AVN232" s="2076"/>
      <c r="AVO232" s="2076"/>
      <c r="AVP232" s="2076"/>
      <c r="AVQ232" s="2076"/>
      <c r="AVR232" s="2076"/>
      <c r="AVS232" s="2076"/>
      <c r="AVT232" s="2076"/>
      <c r="AVU232" s="2076"/>
      <c r="AVV232" s="2076"/>
      <c r="AVW232" s="2076"/>
      <c r="AVX232" s="2076"/>
      <c r="AVY232" s="2076"/>
      <c r="AVZ232" s="2076"/>
      <c r="AWA232" s="2076"/>
      <c r="AWB232" s="2076"/>
      <c r="AWC232" s="2076"/>
      <c r="AWD232" s="2076"/>
      <c r="AWE232" s="2076"/>
      <c r="AWF232" s="2076"/>
      <c r="AWG232" s="2076"/>
      <c r="AWH232" s="2076"/>
      <c r="AWI232" s="2076"/>
      <c r="AWJ232" s="2076"/>
      <c r="AWK232" s="2076"/>
      <c r="AWL232" s="2076"/>
      <c r="AWM232" s="2076"/>
      <c r="AWN232" s="2076"/>
      <c r="AWO232" s="2076"/>
      <c r="AWP232" s="2076"/>
      <c r="AWQ232" s="2076"/>
      <c r="AWR232" s="2076"/>
      <c r="AWS232" s="2076"/>
      <c r="AWT232" s="2076"/>
      <c r="AWU232" s="2076"/>
      <c r="AWV232" s="2076"/>
      <c r="AWW232" s="2076"/>
      <c r="AWX232" s="2076"/>
      <c r="AWY232" s="2076"/>
      <c r="AWZ232" s="2076"/>
      <c r="AXA232" s="2076"/>
      <c r="AXB232" s="2076"/>
      <c r="AXC232" s="2076"/>
      <c r="AXD232" s="2076"/>
      <c r="AXE232" s="2076"/>
      <c r="AXF232" s="2076"/>
      <c r="AXG232" s="2076"/>
      <c r="AXH232" s="2076"/>
      <c r="AXI232" s="2076"/>
      <c r="AXJ232" s="2076"/>
    </row>
    <row r="233" spans="1:1310" s="2077" customFormat="1" ht="23.25" customHeight="1">
      <c r="A233" s="2092"/>
      <c r="B233" s="3238" t="s">
        <v>2386</v>
      </c>
      <c r="C233" s="3238"/>
      <c r="D233" s="3238"/>
      <c r="E233" s="3238"/>
      <c r="F233" s="2086"/>
      <c r="G233" s="3238" t="s">
        <v>2387</v>
      </c>
      <c r="H233" s="3238"/>
      <c r="I233" s="3238"/>
      <c r="J233" s="2086"/>
      <c r="K233" s="3238" t="s">
        <v>2388</v>
      </c>
      <c r="L233" s="3238"/>
      <c r="M233" s="3238"/>
      <c r="N233" s="2086"/>
      <c r="O233" s="3238" t="s">
        <v>2389</v>
      </c>
      <c r="P233" s="3238"/>
      <c r="Q233" s="2086"/>
      <c r="R233" s="755"/>
      <c r="S233" s="755"/>
      <c r="T233" s="755"/>
      <c r="U233" s="755"/>
      <c r="V233" s="755"/>
      <c r="W233" s="755"/>
      <c r="X233" s="755"/>
      <c r="Y233" s="755"/>
      <c r="Z233" s="755"/>
      <c r="AA233" s="755"/>
      <c r="AB233" s="755"/>
      <c r="AC233" s="755"/>
      <c r="AD233" s="2075"/>
      <c r="AE233" s="2075"/>
      <c r="AF233" s="2075"/>
      <c r="AG233" s="2075"/>
      <c r="AH233" s="2075"/>
      <c r="AI233" s="2075"/>
      <c r="AJ233" s="2075"/>
      <c r="AK233" s="2075"/>
      <c r="AL233" s="2075"/>
      <c r="AM233" s="2075"/>
      <c r="AN233" s="2075"/>
      <c r="AO233" s="2075"/>
      <c r="AP233" s="2075"/>
      <c r="AQ233" s="2075"/>
      <c r="AR233" s="2075"/>
      <c r="AS233" s="2075"/>
      <c r="AT233" s="2075"/>
      <c r="AU233" s="2075"/>
      <c r="AV233" s="2076"/>
      <c r="AW233" s="2076"/>
      <c r="AX233" s="2076"/>
      <c r="AY233" s="2076"/>
      <c r="AZ233" s="2076"/>
      <c r="BA233" s="2076"/>
      <c r="BB233" s="2076"/>
      <c r="BC233" s="2076"/>
      <c r="BD233" s="2076"/>
      <c r="BE233" s="2076"/>
      <c r="BF233" s="2076"/>
      <c r="BG233" s="2076"/>
      <c r="BH233" s="2076"/>
      <c r="BI233" s="2076"/>
      <c r="BJ233" s="2076"/>
      <c r="BK233" s="2076"/>
      <c r="BL233" s="2076"/>
      <c r="BM233" s="2076"/>
      <c r="BN233" s="2076"/>
      <c r="BO233" s="2076"/>
      <c r="BP233" s="2076"/>
      <c r="BQ233" s="2076"/>
      <c r="BR233" s="2076"/>
      <c r="BS233" s="2076"/>
      <c r="BT233" s="2076"/>
      <c r="BU233" s="2076"/>
      <c r="BV233" s="2076"/>
      <c r="BW233" s="2076"/>
      <c r="BX233" s="2076"/>
      <c r="BY233" s="2076"/>
      <c r="BZ233" s="2076"/>
      <c r="CA233" s="2076"/>
      <c r="CB233" s="2076"/>
      <c r="CC233" s="2076"/>
      <c r="CD233" s="2076"/>
      <c r="CE233" s="2076"/>
      <c r="CF233" s="2076"/>
      <c r="CG233" s="2076"/>
      <c r="CH233" s="2076"/>
      <c r="CI233" s="2076"/>
      <c r="CJ233" s="2076"/>
      <c r="CK233" s="2076"/>
      <c r="CL233" s="2076"/>
      <c r="CM233" s="2076"/>
      <c r="CN233" s="2076"/>
      <c r="CO233" s="2076"/>
      <c r="CP233" s="2076"/>
      <c r="CQ233" s="2076"/>
      <c r="CR233" s="2076"/>
      <c r="CS233" s="2076"/>
      <c r="CT233" s="2076"/>
      <c r="CU233" s="2076"/>
      <c r="CV233" s="2076"/>
      <c r="CW233" s="2076"/>
      <c r="CX233" s="2076"/>
      <c r="CY233" s="2076"/>
      <c r="CZ233" s="2076"/>
      <c r="DA233" s="2076"/>
      <c r="DB233" s="2076"/>
      <c r="DC233" s="2076"/>
      <c r="DD233" s="2076"/>
      <c r="DE233" s="2076"/>
      <c r="DF233" s="2076"/>
      <c r="DG233" s="2076"/>
      <c r="DH233" s="2076"/>
      <c r="DI233" s="2076"/>
      <c r="DJ233" s="2076"/>
      <c r="DK233" s="2076"/>
      <c r="DL233" s="2076"/>
      <c r="DM233" s="2076"/>
      <c r="DN233" s="2076"/>
      <c r="DO233" s="2076"/>
      <c r="DP233" s="2076"/>
      <c r="DQ233" s="2076"/>
      <c r="DR233" s="2076"/>
      <c r="DS233" s="2076"/>
      <c r="DT233" s="2076"/>
      <c r="DU233" s="2076"/>
      <c r="DV233" s="2076"/>
      <c r="DW233" s="2076"/>
      <c r="DX233" s="2076"/>
      <c r="DY233" s="2076"/>
      <c r="DZ233" s="2076"/>
      <c r="EA233" s="2076"/>
      <c r="EB233" s="2076"/>
      <c r="EC233" s="2076"/>
      <c r="ED233" s="2076"/>
      <c r="EE233" s="2076"/>
      <c r="EF233" s="2076"/>
      <c r="EG233" s="2076"/>
      <c r="EH233" s="2076"/>
      <c r="EI233" s="2076"/>
      <c r="EJ233" s="2076"/>
      <c r="EK233" s="2076"/>
      <c r="EL233" s="2076"/>
      <c r="EM233" s="2076"/>
      <c r="EN233" s="2076"/>
      <c r="EO233" s="2076"/>
      <c r="EP233" s="2076"/>
      <c r="EQ233" s="2076"/>
      <c r="ER233" s="2076"/>
      <c r="ES233" s="2076"/>
      <c r="ET233" s="2076"/>
      <c r="EU233" s="2076"/>
      <c r="EV233" s="2076"/>
      <c r="EW233" s="2076"/>
      <c r="EX233" s="2076"/>
      <c r="EY233" s="2076"/>
      <c r="EZ233" s="2076"/>
      <c r="FA233" s="2076"/>
      <c r="FB233" s="2076"/>
      <c r="FC233" s="2076"/>
      <c r="FD233" s="2076"/>
      <c r="FE233" s="2076"/>
      <c r="FF233" s="2076"/>
      <c r="FG233" s="2076"/>
      <c r="FH233" s="2076"/>
      <c r="FI233" s="2076"/>
      <c r="FJ233" s="2076"/>
      <c r="FK233" s="2076"/>
      <c r="FL233" s="2076"/>
      <c r="FM233" s="2076"/>
      <c r="FN233" s="2076"/>
      <c r="FO233" s="2076"/>
      <c r="FP233" s="2076"/>
      <c r="FQ233" s="2076"/>
      <c r="FR233" s="2076"/>
      <c r="FS233" s="2076"/>
      <c r="FT233" s="2076"/>
      <c r="FU233" s="2076"/>
      <c r="FV233" s="2076"/>
      <c r="FW233" s="2076"/>
      <c r="FX233" s="2076"/>
      <c r="FY233" s="2076"/>
      <c r="FZ233" s="2076"/>
      <c r="GA233" s="2076"/>
      <c r="GB233" s="2076"/>
      <c r="GC233" s="2076"/>
      <c r="GD233" s="2076"/>
      <c r="GE233" s="2076"/>
      <c r="GF233" s="2076"/>
      <c r="GG233" s="2076"/>
      <c r="GH233" s="2076"/>
      <c r="GI233" s="2076"/>
      <c r="GJ233" s="2076"/>
      <c r="GK233" s="2076"/>
      <c r="GL233" s="2076"/>
      <c r="GM233" s="2076"/>
      <c r="GN233" s="2076"/>
      <c r="GO233" s="2076"/>
      <c r="GP233" s="2076"/>
      <c r="GQ233" s="2076"/>
      <c r="GR233" s="2076"/>
      <c r="GS233" s="2076"/>
      <c r="GT233" s="2076"/>
      <c r="GU233" s="2076"/>
      <c r="GV233" s="2076"/>
      <c r="GW233" s="2076"/>
      <c r="GX233" s="2076"/>
      <c r="GY233" s="2076"/>
      <c r="GZ233" s="2076"/>
      <c r="HA233" s="2076"/>
      <c r="HB233" s="2076"/>
      <c r="HC233" s="2076"/>
      <c r="HD233" s="2076"/>
      <c r="HE233" s="2076"/>
      <c r="HF233" s="2076"/>
      <c r="HG233" s="2076"/>
      <c r="HH233" s="2076"/>
      <c r="HI233" s="2076"/>
      <c r="HJ233" s="2076"/>
      <c r="HK233" s="2076"/>
      <c r="HL233" s="2076"/>
      <c r="HM233" s="2076"/>
      <c r="HN233" s="2076"/>
      <c r="HO233" s="2076"/>
      <c r="HP233" s="2076"/>
      <c r="HQ233" s="2076"/>
      <c r="HR233" s="2076"/>
      <c r="HS233" s="2076"/>
      <c r="HT233" s="2076"/>
      <c r="HU233" s="2076"/>
      <c r="HV233" s="2076"/>
      <c r="HW233" s="2076"/>
      <c r="HX233" s="2076"/>
      <c r="HY233" s="2076"/>
      <c r="HZ233" s="2076"/>
      <c r="IA233" s="2076"/>
      <c r="IB233" s="2076"/>
      <c r="IC233" s="2076"/>
      <c r="ID233" s="2076"/>
      <c r="IE233" s="2076"/>
      <c r="IF233" s="2076"/>
      <c r="IG233" s="2076"/>
      <c r="IH233" s="2076"/>
      <c r="II233" s="2076"/>
      <c r="IJ233" s="2076"/>
      <c r="IK233" s="2076"/>
      <c r="IL233" s="2076"/>
      <c r="IM233" s="2076"/>
      <c r="IN233" s="2076"/>
      <c r="IO233" s="2076"/>
      <c r="IP233" s="2076"/>
      <c r="IQ233" s="2076"/>
      <c r="IR233" s="2076"/>
      <c r="IS233" s="2076"/>
      <c r="IT233" s="2076"/>
      <c r="IU233" s="2076"/>
      <c r="IV233" s="2076"/>
      <c r="IW233" s="2076"/>
      <c r="IX233" s="2076"/>
      <c r="IY233" s="2076"/>
      <c r="IZ233" s="2076"/>
      <c r="JA233" s="2076"/>
      <c r="JB233" s="2076"/>
      <c r="JC233" s="2076"/>
      <c r="JD233" s="2076"/>
      <c r="JE233" s="2076"/>
      <c r="JF233" s="2076"/>
      <c r="JG233" s="2076"/>
      <c r="JH233" s="2076"/>
      <c r="JI233" s="2076"/>
      <c r="JJ233" s="2076"/>
      <c r="JK233" s="2076"/>
      <c r="JL233" s="2076"/>
      <c r="JM233" s="2076"/>
      <c r="JN233" s="2076"/>
      <c r="JO233" s="2076"/>
      <c r="JP233" s="2076"/>
      <c r="JQ233" s="2076"/>
      <c r="JR233" s="2076"/>
      <c r="JS233" s="2076"/>
      <c r="JT233" s="2076"/>
      <c r="JU233" s="2076"/>
      <c r="JV233" s="2076"/>
      <c r="JW233" s="2076"/>
      <c r="JX233" s="2076"/>
      <c r="JY233" s="2076"/>
      <c r="JZ233" s="2076"/>
      <c r="KA233" s="2076"/>
      <c r="KB233" s="2076"/>
      <c r="KC233" s="2076"/>
      <c r="KD233" s="2076"/>
      <c r="KE233" s="2076"/>
      <c r="KF233" s="2076"/>
      <c r="KG233" s="2076"/>
      <c r="KH233" s="2076"/>
      <c r="KI233" s="2076"/>
      <c r="KJ233" s="2076"/>
      <c r="KK233" s="2076"/>
      <c r="KL233" s="2076"/>
      <c r="KM233" s="2076"/>
      <c r="KN233" s="2076"/>
      <c r="KO233" s="2076"/>
      <c r="KP233" s="2076"/>
      <c r="KQ233" s="2076"/>
      <c r="KR233" s="2076"/>
      <c r="KS233" s="2076"/>
      <c r="KT233" s="2076"/>
      <c r="KU233" s="2076"/>
      <c r="KV233" s="2076"/>
      <c r="KW233" s="2076"/>
      <c r="KX233" s="2076"/>
      <c r="KY233" s="2076"/>
      <c r="KZ233" s="2076"/>
      <c r="LA233" s="2076"/>
      <c r="LB233" s="2076"/>
      <c r="LC233" s="2076"/>
      <c r="LD233" s="2076"/>
      <c r="LE233" s="2076"/>
      <c r="LF233" s="2076"/>
      <c r="LG233" s="2076"/>
      <c r="LH233" s="2076"/>
      <c r="LI233" s="2076"/>
      <c r="LJ233" s="2076"/>
      <c r="LK233" s="2076"/>
      <c r="LL233" s="2076"/>
      <c r="LM233" s="2076"/>
      <c r="LN233" s="2076"/>
      <c r="LO233" s="2076"/>
      <c r="LP233" s="2076"/>
      <c r="LQ233" s="2076"/>
      <c r="LR233" s="2076"/>
      <c r="LS233" s="2076"/>
      <c r="LT233" s="2076"/>
      <c r="LU233" s="2076"/>
      <c r="LV233" s="2076"/>
      <c r="LW233" s="2076"/>
      <c r="LX233" s="2076"/>
      <c r="LY233" s="2076"/>
      <c r="LZ233" s="2076"/>
      <c r="MA233" s="2076"/>
      <c r="MB233" s="2076"/>
      <c r="MC233" s="2076"/>
      <c r="MD233" s="2076"/>
      <c r="ME233" s="2076"/>
      <c r="MF233" s="2076"/>
      <c r="MG233" s="2076"/>
      <c r="MH233" s="2076"/>
      <c r="MI233" s="2076"/>
      <c r="MJ233" s="2076"/>
      <c r="MK233" s="2076"/>
      <c r="ML233" s="2076"/>
      <c r="MM233" s="2076"/>
      <c r="MN233" s="2076"/>
      <c r="MO233" s="2076"/>
      <c r="MP233" s="2076"/>
      <c r="MQ233" s="2076"/>
      <c r="MR233" s="2076"/>
      <c r="MS233" s="2076"/>
      <c r="MT233" s="2076"/>
      <c r="MU233" s="2076"/>
      <c r="MV233" s="2076"/>
      <c r="MW233" s="2076"/>
      <c r="MX233" s="2076"/>
      <c r="MY233" s="2076"/>
      <c r="MZ233" s="2076"/>
      <c r="NA233" s="2076"/>
      <c r="NB233" s="2076"/>
      <c r="NC233" s="2076"/>
      <c r="ND233" s="2076"/>
      <c r="NE233" s="2076"/>
      <c r="NF233" s="2076"/>
      <c r="NG233" s="2076"/>
      <c r="NH233" s="2076"/>
      <c r="NI233" s="2076"/>
      <c r="NJ233" s="2076"/>
      <c r="NK233" s="2076"/>
      <c r="NL233" s="2076"/>
      <c r="NM233" s="2076"/>
      <c r="NN233" s="2076"/>
      <c r="NO233" s="2076"/>
      <c r="NP233" s="2076"/>
      <c r="NQ233" s="2076"/>
      <c r="NR233" s="2076"/>
      <c r="NS233" s="2076"/>
      <c r="NT233" s="2076"/>
      <c r="NU233" s="2076"/>
      <c r="NV233" s="2076"/>
      <c r="NW233" s="2076"/>
      <c r="NX233" s="2076"/>
      <c r="NY233" s="2076"/>
      <c r="NZ233" s="2076"/>
      <c r="OA233" s="2076"/>
      <c r="OB233" s="2076"/>
      <c r="OC233" s="2076"/>
      <c r="OD233" s="2076"/>
      <c r="OE233" s="2076"/>
      <c r="OF233" s="2076"/>
      <c r="OG233" s="2076"/>
      <c r="OH233" s="2076"/>
      <c r="OI233" s="2076"/>
      <c r="OJ233" s="2076"/>
      <c r="OK233" s="2076"/>
      <c r="OL233" s="2076"/>
      <c r="OM233" s="2076"/>
      <c r="ON233" s="2076"/>
      <c r="OO233" s="2076"/>
      <c r="OP233" s="2076"/>
      <c r="OQ233" s="2076"/>
      <c r="OR233" s="2076"/>
      <c r="OS233" s="2076"/>
      <c r="OT233" s="2076"/>
      <c r="OU233" s="2076"/>
      <c r="OV233" s="2076"/>
      <c r="OW233" s="2076"/>
      <c r="OX233" s="2076"/>
      <c r="OY233" s="2076"/>
      <c r="OZ233" s="2076"/>
      <c r="PA233" s="2076"/>
      <c r="PB233" s="2076"/>
      <c r="PC233" s="2076"/>
      <c r="PD233" s="2076"/>
      <c r="PE233" s="2076"/>
      <c r="PF233" s="2076"/>
      <c r="PG233" s="2076"/>
      <c r="PH233" s="2076"/>
      <c r="PI233" s="2076"/>
      <c r="PJ233" s="2076"/>
      <c r="PK233" s="2076"/>
      <c r="PL233" s="2076"/>
      <c r="PM233" s="2076"/>
      <c r="PN233" s="2076"/>
      <c r="PO233" s="2076"/>
      <c r="PP233" s="2076"/>
      <c r="PQ233" s="2076"/>
      <c r="PR233" s="2076"/>
      <c r="PS233" s="2076"/>
      <c r="PT233" s="2076"/>
      <c r="PU233" s="2076"/>
      <c r="PV233" s="2076"/>
      <c r="PW233" s="2076"/>
      <c r="PX233" s="2076"/>
      <c r="PY233" s="2076"/>
      <c r="PZ233" s="2076"/>
      <c r="QA233" s="2076"/>
      <c r="QB233" s="2076"/>
      <c r="QC233" s="2076"/>
      <c r="QD233" s="2076"/>
      <c r="QE233" s="2076"/>
      <c r="QF233" s="2076"/>
      <c r="QG233" s="2076"/>
      <c r="QH233" s="2076"/>
      <c r="QI233" s="2076"/>
      <c r="QJ233" s="2076"/>
      <c r="QK233" s="2076"/>
      <c r="QL233" s="2076"/>
      <c r="QM233" s="2076"/>
      <c r="QN233" s="2076"/>
      <c r="QO233" s="2076"/>
      <c r="QP233" s="2076"/>
      <c r="QQ233" s="2076"/>
      <c r="QR233" s="2076"/>
      <c r="QS233" s="2076"/>
      <c r="QT233" s="2076"/>
      <c r="QU233" s="2076"/>
      <c r="QV233" s="2076"/>
      <c r="QW233" s="2076"/>
      <c r="QX233" s="2076"/>
      <c r="QY233" s="2076"/>
      <c r="QZ233" s="2076"/>
      <c r="RA233" s="2076"/>
      <c r="RB233" s="2076"/>
      <c r="RC233" s="2076"/>
      <c r="RD233" s="2076"/>
      <c r="RE233" s="2076"/>
      <c r="RF233" s="2076"/>
      <c r="RG233" s="2076"/>
      <c r="RH233" s="2076"/>
      <c r="RI233" s="2076"/>
      <c r="RJ233" s="2076"/>
      <c r="RK233" s="2076"/>
      <c r="RL233" s="2076"/>
      <c r="RM233" s="2076"/>
      <c r="RN233" s="2076"/>
      <c r="RO233" s="2076"/>
      <c r="RP233" s="2076"/>
      <c r="RQ233" s="2076"/>
      <c r="RR233" s="2076"/>
      <c r="RS233" s="2076"/>
      <c r="RT233" s="2076"/>
      <c r="RU233" s="2076"/>
      <c r="RV233" s="2076"/>
      <c r="RW233" s="2076"/>
      <c r="RX233" s="2076"/>
      <c r="RY233" s="2076"/>
      <c r="RZ233" s="2076"/>
      <c r="SA233" s="2076"/>
      <c r="SB233" s="2076"/>
      <c r="SC233" s="2076"/>
      <c r="SD233" s="2076"/>
      <c r="SE233" s="2076"/>
      <c r="SF233" s="2076"/>
      <c r="SG233" s="2076"/>
      <c r="SH233" s="2076"/>
      <c r="SI233" s="2076"/>
      <c r="SJ233" s="2076"/>
      <c r="SK233" s="2076"/>
      <c r="SL233" s="2076"/>
      <c r="SM233" s="2076"/>
      <c r="SN233" s="2076"/>
      <c r="SO233" s="2076"/>
      <c r="SP233" s="2076"/>
      <c r="SQ233" s="2076"/>
      <c r="SR233" s="2076"/>
      <c r="SS233" s="2076"/>
      <c r="ST233" s="2076"/>
      <c r="SU233" s="2076"/>
      <c r="SV233" s="2076"/>
      <c r="SW233" s="2076"/>
      <c r="SX233" s="2076"/>
      <c r="SY233" s="2076"/>
      <c r="SZ233" s="2076"/>
      <c r="TA233" s="2076"/>
      <c r="TB233" s="2076"/>
      <c r="TC233" s="2076"/>
      <c r="TD233" s="2076"/>
      <c r="TE233" s="2076"/>
      <c r="TF233" s="2076"/>
      <c r="TG233" s="2076"/>
      <c r="TH233" s="2076"/>
      <c r="TI233" s="2076"/>
      <c r="TJ233" s="2076"/>
      <c r="TK233" s="2076"/>
      <c r="TL233" s="2076"/>
      <c r="TM233" s="2076"/>
      <c r="TN233" s="2076"/>
      <c r="TO233" s="2076"/>
      <c r="TP233" s="2076"/>
      <c r="TQ233" s="2076"/>
      <c r="TR233" s="2076"/>
      <c r="TS233" s="2076"/>
      <c r="TT233" s="2076"/>
      <c r="TU233" s="2076"/>
      <c r="TV233" s="2076"/>
      <c r="TW233" s="2076"/>
      <c r="TX233" s="2076"/>
      <c r="TY233" s="2076"/>
      <c r="TZ233" s="2076"/>
      <c r="UA233" s="2076"/>
      <c r="UB233" s="2076"/>
      <c r="UC233" s="2076"/>
      <c r="UD233" s="2076"/>
      <c r="UE233" s="2076"/>
      <c r="UF233" s="2076"/>
      <c r="UG233" s="2076"/>
      <c r="UH233" s="2076"/>
      <c r="UI233" s="2076"/>
      <c r="UJ233" s="2076"/>
      <c r="UK233" s="2076"/>
      <c r="UL233" s="2076"/>
      <c r="UM233" s="2076"/>
      <c r="UN233" s="2076"/>
      <c r="UO233" s="2076"/>
      <c r="UP233" s="2076"/>
      <c r="UQ233" s="2076"/>
      <c r="UR233" s="2076"/>
      <c r="US233" s="2076"/>
      <c r="UT233" s="2076"/>
      <c r="UU233" s="2076"/>
      <c r="UV233" s="2076"/>
      <c r="UW233" s="2076"/>
      <c r="UX233" s="2076"/>
      <c r="UY233" s="2076"/>
      <c r="UZ233" s="2076"/>
      <c r="VA233" s="2076"/>
      <c r="VB233" s="2076"/>
      <c r="VC233" s="2076"/>
      <c r="VD233" s="2076"/>
      <c r="VE233" s="2076"/>
      <c r="VF233" s="2076"/>
      <c r="VG233" s="2076"/>
      <c r="VH233" s="2076"/>
      <c r="VI233" s="2076"/>
      <c r="VJ233" s="2076"/>
      <c r="VK233" s="2076"/>
      <c r="VL233" s="2076"/>
      <c r="VM233" s="2076"/>
      <c r="VN233" s="2076"/>
      <c r="VO233" s="2076"/>
      <c r="VP233" s="2076"/>
      <c r="VQ233" s="2076"/>
      <c r="VR233" s="2076"/>
      <c r="VS233" s="2076"/>
      <c r="VT233" s="2076"/>
      <c r="VU233" s="2076"/>
      <c r="VV233" s="2076"/>
      <c r="VW233" s="2076"/>
      <c r="VX233" s="2076"/>
      <c r="VY233" s="2076"/>
      <c r="VZ233" s="2076"/>
      <c r="WA233" s="2076"/>
      <c r="WB233" s="2076"/>
      <c r="WC233" s="2076"/>
      <c r="WD233" s="2076"/>
      <c r="WE233" s="2076"/>
      <c r="WF233" s="2076"/>
      <c r="WG233" s="2076"/>
      <c r="WH233" s="2076"/>
      <c r="WI233" s="2076"/>
      <c r="WJ233" s="2076"/>
      <c r="WK233" s="2076"/>
      <c r="WL233" s="2076"/>
      <c r="WM233" s="2076"/>
      <c r="WN233" s="2076"/>
      <c r="WO233" s="2076"/>
      <c r="WP233" s="2076"/>
      <c r="WQ233" s="2076"/>
      <c r="WR233" s="2076"/>
      <c r="WS233" s="2076"/>
      <c r="WT233" s="2076"/>
      <c r="WU233" s="2076"/>
      <c r="WV233" s="2076"/>
      <c r="WW233" s="2076"/>
      <c r="WX233" s="2076"/>
      <c r="WY233" s="2076"/>
      <c r="WZ233" s="2076"/>
      <c r="XA233" s="2076"/>
      <c r="XB233" s="2076"/>
      <c r="XC233" s="2076"/>
      <c r="XD233" s="2076"/>
      <c r="XE233" s="2076"/>
      <c r="XF233" s="2076"/>
      <c r="XG233" s="2076"/>
      <c r="XH233" s="2076"/>
      <c r="XI233" s="2076"/>
      <c r="XJ233" s="2076"/>
      <c r="XK233" s="2076"/>
      <c r="XL233" s="2076"/>
      <c r="XM233" s="2076"/>
      <c r="XN233" s="2076"/>
      <c r="XO233" s="2076"/>
      <c r="XP233" s="2076"/>
      <c r="XQ233" s="2076"/>
      <c r="XR233" s="2076"/>
      <c r="XS233" s="2076"/>
      <c r="XT233" s="2076"/>
      <c r="XU233" s="2076"/>
      <c r="XV233" s="2076"/>
      <c r="XW233" s="2076"/>
      <c r="XX233" s="2076"/>
      <c r="XY233" s="2076"/>
      <c r="XZ233" s="2076"/>
      <c r="YA233" s="2076"/>
      <c r="YB233" s="2076"/>
      <c r="YC233" s="2076"/>
      <c r="YD233" s="2076"/>
      <c r="YE233" s="2076"/>
      <c r="YF233" s="2076"/>
      <c r="YG233" s="2076"/>
      <c r="YH233" s="2076"/>
      <c r="YI233" s="2076"/>
      <c r="YJ233" s="2076"/>
      <c r="YK233" s="2076"/>
      <c r="YL233" s="2076"/>
      <c r="YM233" s="2076"/>
      <c r="YN233" s="2076"/>
      <c r="YO233" s="2076"/>
      <c r="YP233" s="2076"/>
      <c r="YQ233" s="2076"/>
      <c r="YR233" s="2076"/>
      <c r="YS233" s="2076"/>
      <c r="YT233" s="2076"/>
      <c r="YU233" s="2076"/>
      <c r="YV233" s="2076"/>
      <c r="YW233" s="2076"/>
      <c r="YX233" s="2076"/>
      <c r="YY233" s="2076"/>
      <c r="YZ233" s="2076"/>
      <c r="ZA233" s="2076"/>
      <c r="ZB233" s="2076"/>
      <c r="ZC233" s="2076"/>
      <c r="ZD233" s="2076"/>
      <c r="ZE233" s="2076"/>
      <c r="ZF233" s="2076"/>
      <c r="ZG233" s="2076"/>
      <c r="ZH233" s="2076"/>
      <c r="ZI233" s="2076"/>
      <c r="ZJ233" s="2076"/>
      <c r="ZK233" s="2076"/>
      <c r="ZL233" s="2076"/>
      <c r="ZM233" s="2076"/>
      <c r="ZN233" s="2076"/>
      <c r="ZO233" s="2076"/>
      <c r="ZP233" s="2076"/>
      <c r="ZQ233" s="2076"/>
      <c r="ZR233" s="2076"/>
      <c r="ZS233" s="2076"/>
      <c r="ZT233" s="2076"/>
      <c r="ZU233" s="2076"/>
      <c r="ZV233" s="2076"/>
      <c r="ZW233" s="2076"/>
      <c r="ZX233" s="2076"/>
      <c r="ZY233" s="2076"/>
      <c r="ZZ233" s="2076"/>
      <c r="AAA233" s="2076"/>
      <c r="AAB233" s="2076"/>
      <c r="AAC233" s="2076"/>
      <c r="AAD233" s="2076"/>
      <c r="AAE233" s="2076"/>
      <c r="AAF233" s="2076"/>
      <c r="AAG233" s="2076"/>
      <c r="AAH233" s="2076"/>
      <c r="AAI233" s="2076"/>
      <c r="AAJ233" s="2076"/>
      <c r="AAK233" s="2076"/>
      <c r="AAL233" s="2076"/>
      <c r="AAM233" s="2076"/>
      <c r="AAN233" s="2076"/>
      <c r="AAO233" s="2076"/>
      <c r="AAP233" s="2076"/>
      <c r="AAQ233" s="2076"/>
      <c r="AAR233" s="2076"/>
      <c r="AAS233" s="2076"/>
      <c r="AAT233" s="2076"/>
      <c r="AAU233" s="2076"/>
      <c r="AAV233" s="2076"/>
      <c r="AAW233" s="2076"/>
      <c r="AAX233" s="2076"/>
      <c r="AAY233" s="2076"/>
      <c r="AAZ233" s="2076"/>
      <c r="ABA233" s="2076"/>
      <c r="ABB233" s="2076"/>
      <c r="ABC233" s="2076"/>
      <c r="ABD233" s="2076"/>
      <c r="ABE233" s="2076"/>
      <c r="ABF233" s="2076"/>
      <c r="ABG233" s="2076"/>
      <c r="ABH233" s="2076"/>
      <c r="ABI233" s="2076"/>
      <c r="ABJ233" s="2076"/>
      <c r="ABK233" s="2076"/>
      <c r="ABL233" s="2076"/>
      <c r="ABM233" s="2076"/>
      <c r="ABN233" s="2076"/>
      <c r="ABO233" s="2076"/>
      <c r="ABP233" s="2076"/>
      <c r="ABQ233" s="2076"/>
      <c r="ABR233" s="2076"/>
      <c r="ABS233" s="2076"/>
      <c r="ABT233" s="2076"/>
      <c r="ABU233" s="2076"/>
      <c r="ABV233" s="2076"/>
      <c r="ABW233" s="2076"/>
      <c r="ABX233" s="2076"/>
      <c r="ABY233" s="2076"/>
      <c r="ABZ233" s="2076"/>
      <c r="ACA233" s="2076"/>
      <c r="ACB233" s="2076"/>
      <c r="ACC233" s="2076"/>
      <c r="ACD233" s="2076"/>
      <c r="ACE233" s="2076"/>
      <c r="ACF233" s="2076"/>
      <c r="ACG233" s="2076"/>
      <c r="ACH233" s="2076"/>
      <c r="ACI233" s="2076"/>
      <c r="ACJ233" s="2076"/>
      <c r="ACK233" s="2076"/>
      <c r="ACL233" s="2076"/>
      <c r="ACM233" s="2076"/>
      <c r="ACN233" s="2076"/>
      <c r="ACO233" s="2076"/>
      <c r="ACP233" s="2076"/>
      <c r="ACQ233" s="2076"/>
      <c r="ACR233" s="2076"/>
      <c r="ACS233" s="2076"/>
      <c r="ACT233" s="2076"/>
      <c r="ACU233" s="2076"/>
      <c r="ACV233" s="2076"/>
      <c r="ACW233" s="2076"/>
      <c r="ACX233" s="2076"/>
      <c r="ACY233" s="2076"/>
      <c r="ACZ233" s="2076"/>
      <c r="ADA233" s="2076"/>
      <c r="ADB233" s="2076"/>
      <c r="ADC233" s="2076"/>
      <c r="ADD233" s="2076"/>
      <c r="ADE233" s="2076"/>
      <c r="ADF233" s="2076"/>
      <c r="ADG233" s="2076"/>
      <c r="ADH233" s="2076"/>
      <c r="ADI233" s="2076"/>
      <c r="ADJ233" s="2076"/>
      <c r="ADK233" s="2076"/>
      <c r="ADL233" s="2076"/>
      <c r="ADM233" s="2076"/>
      <c r="ADN233" s="2076"/>
      <c r="ADO233" s="2076"/>
      <c r="ADP233" s="2076"/>
      <c r="ADQ233" s="2076"/>
      <c r="ADR233" s="2076"/>
      <c r="ADS233" s="2076"/>
      <c r="ADT233" s="2076"/>
      <c r="ADU233" s="2076"/>
      <c r="ADV233" s="2076"/>
      <c r="ADW233" s="2076"/>
      <c r="ADX233" s="2076"/>
      <c r="ADY233" s="2076"/>
      <c r="ADZ233" s="2076"/>
      <c r="AEA233" s="2076"/>
      <c r="AEB233" s="2076"/>
      <c r="AEC233" s="2076"/>
      <c r="AED233" s="2076"/>
      <c r="AEE233" s="2076"/>
      <c r="AEF233" s="2076"/>
      <c r="AEG233" s="2076"/>
      <c r="AEH233" s="2076"/>
      <c r="AEI233" s="2076"/>
      <c r="AEJ233" s="2076"/>
      <c r="AEK233" s="2076"/>
      <c r="AEL233" s="2076"/>
      <c r="AEM233" s="2076"/>
      <c r="AEN233" s="2076"/>
      <c r="AEO233" s="2076"/>
      <c r="AEP233" s="2076"/>
      <c r="AEQ233" s="2076"/>
      <c r="AER233" s="2076"/>
      <c r="AES233" s="2076"/>
      <c r="AET233" s="2076"/>
      <c r="AEU233" s="2076"/>
      <c r="AEV233" s="2076"/>
      <c r="AEW233" s="2076"/>
      <c r="AEX233" s="2076"/>
      <c r="AEY233" s="2076"/>
      <c r="AEZ233" s="2076"/>
      <c r="AFA233" s="2076"/>
      <c r="AFB233" s="2076"/>
      <c r="AFC233" s="2076"/>
      <c r="AFD233" s="2076"/>
      <c r="AFE233" s="2076"/>
      <c r="AFF233" s="2076"/>
      <c r="AFG233" s="2076"/>
      <c r="AFH233" s="2076"/>
      <c r="AFI233" s="2076"/>
      <c r="AFJ233" s="2076"/>
      <c r="AFK233" s="2076"/>
      <c r="AFL233" s="2076"/>
      <c r="AFM233" s="2076"/>
      <c r="AFN233" s="2076"/>
      <c r="AFO233" s="2076"/>
      <c r="AFP233" s="2076"/>
      <c r="AFQ233" s="2076"/>
      <c r="AFR233" s="2076"/>
      <c r="AFS233" s="2076"/>
      <c r="AFT233" s="2076"/>
      <c r="AFU233" s="2076"/>
      <c r="AFV233" s="2076"/>
      <c r="AFW233" s="2076"/>
      <c r="AFX233" s="2076"/>
      <c r="AFY233" s="2076"/>
      <c r="AFZ233" s="2076"/>
      <c r="AGA233" s="2076"/>
      <c r="AGB233" s="2076"/>
      <c r="AGC233" s="2076"/>
      <c r="AGD233" s="2076"/>
      <c r="AGE233" s="2076"/>
      <c r="AGF233" s="2076"/>
      <c r="AGG233" s="2076"/>
      <c r="AGH233" s="2076"/>
      <c r="AGI233" s="2076"/>
      <c r="AGJ233" s="2076"/>
      <c r="AGK233" s="2076"/>
      <c r="AGL233" s="2076"/>
      <c r="AGM233" s="2076"/>
      <c r="AGN233" s="2076"/>
      <c r="AGO233" s="2076"/>
      <c r="AGP233" s="2076"/>
      <c r="AGQ233" s="2076"/>
      <c r="AGR233" s="2076"/>
      <c r="AGS233" s="2076"/>
      <c r="AGT233" s="2076"/>
      <c r="AGU233" s="2076"/>
      <c r="AGV233" s="2076"/>
      <c r="AGW233" s="2076"/>
      <c r="AGX233" s="2076"/>
      <c r="AGY233" s="2076"/>
      <c r="AGZ233" s="2076"/>
      <c r="AHA233" s="2076"/>
      <c r="AHB233" s="2076"/>
      <c r="AHC233" s="2076"/>
      <c r="AHD233" s="2076"/>
      <c r="AHE233" s="2076"/>
      <c r="AHF233" s="2076"/>
      <c r="AHG233" s="2076"/>
      <c r="AHH233" s="2076"/>
      <c r="AHI233" s="2076"/>
      <c r="AHJ233" s="2076"/>
      <c r="AHK233" s="2076"/>
      <c r="AHL233" s="2076"/>
      <c r="AHM233" s="2076"/>
      <c r="AHN233" s="2076"/>
      <c r="AHO233" s="2076"/>
      <c r="AHP233" s="2076"/>
      <c r="AHQ233" s="2076"/>
      <c r="AHR233" s="2076"/>
      <c r="AHS233" s="2076"/>
      <c r="AHT233" s="2076"/>
      <c r="AHU233" s="2076"/>
      <c r="AHV233" s="2076"/>
      <c r="AHW233" s="2076"/>
      <c r="AHX233" s="2076"/>
      <c r="AHY233" s="2076"/>
      <c r="AHZ233" s="2076"/>
      <c r="AIA233" s="2076"/>
      <c r="AIB233" s="2076"/>
      <c r="AIC233" s="2076"/>
      <c r="AID233" s="2076"/>
      <c r="AIE233" s="2076"/>
      <c r="AIF233" s="2076"/>
      <c r="AIG233" s="2076"/>
      <c r="AIH233" s="2076"/>
      <c r="AII233" s="2076"/>
      <c r="AIJ233" s="2076"/>
      <c r="AIK233" s="2076"/>
      <c r="AIL233" s="2076"/>
      <c r="AIM233" s="2076"/>
      <c r="AIN233" s="2076"/>
      <c r="AIO233" s="2076"/>
      <c r="AIP233" s="2076"/>
      <c r="AIQ233" s="2076"/>
      <c r="AIR233" s="2076"/>
      <c r="AIS233" s="2076"/>
      <c r="AIT233" s="2076"/>
      <c r="AIU233" s="2076"/>
      <c r="AIV233" s="2076"/>
      <c r="AIW233" s="2076"/>
      <c r="AIX233" s="2076"/>
      <c r="AIY233" s="2076"/>
      <c r="AIZ233" s="2076"/>
      <c r="AJA233" s="2076"/>
      <c r="AJB233" s="2076"/>
      <c r="AJC233" s="2076"/>
      <c r="AJD233" s="2076"/>
      <c r="AJE233" s="2076"/>
      <c r="AJF233" s="2076"/>
      <c r="AJG233" s="2076"/>
      <c r="AJH233" s="2076"/>
      <c r="AJI233" s="2076"/>
      <c r="AJJ233" s="2076"/>
      <c r="AJK233" s="2076"/>
      <c r="AJL233" s="2076"/>
      <c r="AJM233" s="2076"/>
      <c r="AJN233" s="2076"/>
      <c r="AJO233" s="2076"/>
      <c r="AJP233" s="2076"/>
      <c r="AJQ233" s="2076"/>
      <c r="AJR233" s="2076"/>
      <c r="AJS233" s="2076"/>
      <c r="AJT233" s="2076"/>
      <c r="AJU233" s="2076"/>
      <c r="AJV233" s="2076"/>
      <c r="AJW233" s="2076"/>
      <c r="AJX233" s="2076"/>
      <c r="AJY233" s="2076"/>
      <c r="AJZ233" s="2076"/>
      <c r="AKA233" s="2076"/>
      <c r="AKB233" s="2076"/>
      <c r="AKC233" s="2076"/>
      <c r="AKD233" s="2076"/>
      <c r="AKE233" s="2076"/>
      <c r="AKF233" s="2076"/>
      <c r="AKG233" s="2076"/>
      <c r="AKH233" s="2076"/>
      <c r="AKI233" s="2076"/>
      <c r="AKJ233" s="2076"/>
      <c r="AKK233" s="2076"/>
      <c r="AKL233" s="2076"/>
      <c r="AKM233" s="2076"/>
      <c r="AKN233" s="2076"/>
      <c r="AKO233" s="2076"/>
      <c r="AKP233" s="2076"/>
      <c r="AKQ233" s="2076"/>
      <c r="AKR233" s="2076"/>
      <c r="AKS233" s="2076"/>
      <c r="AKT233" s="2076"/>
      <c r="AKU233" s="2076"/>
      <c r="AKV233" s="2076"/>
      <c r="AKW233" s="2076"/>
      <c r="AKX233" s="2076"/>
      <c r="AKY233" s="2076"/>
      <c r="AKZ233" s="2076"/>
      <c r="ALA233" s="2076"/>
      <c r="ALB233" s="2076"/>
      <c r="ALC233" s="2076"/>
      <c r="ALD233" s="2076"/>
      <c r="ALE233" s="2076"/>
      <c r="ALF233" s="2076"/>
      <c r="ALG233" s="2076"/>
      <c r="ALH233" s="2076"/>
      <c r="ALI233" s="2076"/>
      <c r="ALJ233" s="2076"/>
      <c r="ALK233" s="2076"/>
      <c r="ALL233" s="2076"/>
      <c r="ALM233" s="2076"/>
      <c r="ALN233" s="2076"/>
      <c r="ALO233" s="2076"/>
      <c r="ALP233" s="2076"/>
      <c r="ALQ233" s="2076"/>
      <c r="ALR233" s="2076"/>
      <c r="ALS233" s="2076"/>
      <c r="ALT233" s="2076"/>
      <c r="ALU233" s="2076"/>
      <c r="ALV233" s="2076"/>
      <c r="ALW233" s="2076"/>
      <c r="ALX233" s="2076"/>
      <c r="ALY233" s="2076"/>
      <c r="ALZ233" s="2076"/>
      <c r="AMA233" s="2076"/>
      <c r="AMB233" s="2076"/>
      <c r="AMC233" s="2076"/>
      <c r="AMD233" s="2076"/>
      <c r="AME233" s="2076"/>
      <c r="AMF233" s="2076"/>
      <c r="AMG233" s="2076"/>
      <c r="AMH233" s="2076"/>
      <c r="AMI233" s="2076"/>
      <c r="AMJ233" s="2076"/>
      <c r="AMK233" s="2076"/>
      <c r="AML233" s="2076"/>
      <c r="AMM233" s="2076"/>
      <c r="AMN233" s="2076"/>
      <c r="AMO233" s="2076"/>
      <c r="AMP233" s="2076"/>
      <c r="AMQ233" s="2076"/>
      <c r="AMR233" s="2076"/>
      <c r="AMS233" s="2076"/>
      <c r="AMT233" s="2076"/>
      <c r="AMU233" s="2076"/>
      <c r="AMV233" s="2076"/>
      <c r="AMW233" s="2076"/>
      <c r="AMX233" s="2076"/>
      <c r="AMY233" s="2076"/>
      <c r="AMZ233" s="2076"/>
      <c r="ANA233" s="2076"/>
      <c r="ANB233" s="2076"/>
      <c r="ANC233" s="2076"/>
      <c r="AND233" s="2076"/>
      <c r="ANE233" s="2076"/>
      <c r="ANF233" s="2076"/>
      <c r="ANG233" s="2076"/>
      <c r="ANH233" s="2076"/>
      <c r="ANI233" s="2076"/>
      <c r="ANJ233" s="2076"/>
      <c r="ANK233" s="2076"/>
      <c r="ANL233" s="2076"/>
      <c r="ANM233" s="2076"/>
      <c r="ANN233" s="2076"/>
      <c r="ANO233" s="2076"/>
      <c r="ANP233" s="2076"/>
      <c r="ANQ233" s="2076"/>
      <c r="ANR233" s="2076"/>
      <c r="ANS233" s="2076"/>
      <c r="ANT233" s="2076"/>
      <c r="ANU233" s="2076"/>
      <c r="ANV233" s="2076"/>
      <c r="ANW233" s="2076"/>
      <c r="ANX233" s="2076"/>
      <c r="ANY233" s="2076"/>
      <c r="ANZ233" s="2076"/>
      <c r="AOA233" s="2076"/>
      <c r="AOB233" s="2076"/>
      <c r="AOC233" s="2076"/>
      <c r="AOD233" s="2076"/>
      <c r="AOE233" s="2076"/>
      <c r="AOF233" s="2076"/>
      <c r="AOG233" s="2076"/>
      <c r="AOH233" s="2076"/>
      <c r="AOI233" s="2076"/>
      <c r="AOJ233" s="2076"/>
      <c r="AOK233" s="2076"/>
      <c r="AOL233" s="2076"/>
      <c r="AOM233" s="2076"/>
      <c r="AON233" s="2076"/>
      <c r="AOO233" s="2076"/>
      <c r="AOP233" s="2076"/>
      <c r="AOQ233" s="2076"/>
      <c r="AOR233" s="2076"/>
      <c r="AOS233" s="2076"/>
      <c r="AOT233" s="2076"/>
      <c r="AOU233" s="2076"/>
      <c r="AOV233" s="2076"/>
      <c r="AOW233" s="2076"/>
      <c r="AOX233" s="2076"/>
      <c r="AOY233" s="2076"/>
      <c r="AOZ233" s="2076"/>
      <c r="APA233" s="2076"/>
      <c r="APB233" s="2076"/>
      <c r="APC233" s="2076"/>
      <c r="APD233" s="2076"/>
      <c r="APE233" s="2076"/>
      <c r="APF233" s="2076"/>
      <c r="APG233" s="2076"/>
      <c r="APH233" s="2076"/>
      <c r="API233" s="2076"/>
      <c r="APJ233" s="2076"/>
      <c r="APK233" s="2076"/>
      <c r="APL233" s="2076"/>
      <c r="APM233" s="2076"/>
      <c r="APN233" s="2076"/>
      <c r="APO233" s="2076"/>
      <c r="APP233" s="2076"/>
      <c r="APQ233" s="2076"/>
      <c r="APR233" s="2076"/>
      <c r="APS233" s="2076"/>
      <c r="APT233" s="2076"/>
      <c r="APU233" s="2076"/>
      <c r="APV233" s="2076"/>
      <c r="APW233" s="2076"/>
      <c r="APX233" s="2076"/>
      <c r="APY233" s="2076"/>
      <c r="APZ233" s="2076"/>
      <c r="AQA233" s="2076"/>
      <c r="AQB233" s="2076"/>
      <c r="AQC233" s="2076"/>
      <c r="AQD233" s="2076"/>
      <c r="AQE233" s="2076"/>
      <c r="AQF233" s="2076"/>
      <c r="AQG233" s="2076"/>
      <c r="AQH233" s="2076"/>
      <c r="AQI233" s="2076"/>
      <c r="AQJ233" s="2076"/>
      <c r="AQK233" s="2076"/>
      <c r="AQL233" s="2076"/>
      <c r="AQM233" s="2076"/>
      <c r="AQN233" s="2076"/>
      <c r="AQO233" s="2076"/>
      <c r="AQP233" s="2076"/>
      <c r="AQQ233" s="2076"/>
      <c r="AQR233" s="2076"/>
      <c r="AQS233" s="2076"/>
      <c r="AQT233" s="2076"/>
      <c r="AQU233" s="2076"/>
      <c r="AQV233" s="2076"/>
      <c r="AQW233" s="2076"/>
      <c r="AQX233" s="2076"/>
      <c r="AQY233" s="2076"/>
      <c r="AQZ233" s="2076"/>
      <c r="ARA233" s="2076"/>
      <c r="ARB233" s="2076"/>
      <c r="ARC233" s="2076"/>
      <c r="ARD233" s="2076"/>
      <c r="ARE233" s="2076"/>
      <c r="ARF233" s="2076"/>
      <c r="ARG233" s="2076"/>
      <c r="ARH233" s="2076"/>
      <c r="ARI233" s="2076"/>
      <c r="ARJ233" s="2076"/>
      <c r="ARK233" s="2076"/>
      <c r="ARL233" s="2076"/>
      <c r="ARM233" s="2076"/>
      <c r="ARN233" s="2076"/>
      <c r="ARO233" s="2076"/>
      <c r="ARP233" s="2076"/>
      <c r="ARQ233" s="2076"/>
      <c r="ARR233" s="2076"/>
      <c r="ARS233" s="2076"/>
      <c r="ART233" s="2076"/>
      <c r="ARU233" s="2076"/>
      <c r="ARV233" s="2076"/>
      <c r="ARW233" s="2076"/>
      <c r="ARX233" s="2076"/>
      <c r="ARY233" s="2076"/>
      <c r="ARZ233" s="2076"/>
      <c r="ASA233" s="2076"/>
      <c r="ASB233" s="2076"/>
      <c r="ASC233" s="2076"/>
      <c r="ASD233" s="2076"/>
      <c r="ASE233" s="2076"/>
      <c r="ASF233" s="2076"/>
      <c r="ASG233" s="2076"/>
      <c r="ASH233" s="2076"/>
      <c r="ASI233" s="2076"/>
      <c r="ASJ233" s="2076"/>
      <c r="ASK233" s="2076"/>
      <c r="ASL233" s="2076"/>
      <c r="ASM233" s="2076"/>
      <c r="ASN233" s="2076"/>
      <c r="ASO233" s="2076"/>
      <c r="ASP233" s="2076"/>
      <c r="ASQ233" s="2076"/>
      <c r="ASR233" s="2076"/>
      <c r="ASS233" s="2076"/>
      <c r="AST233" s="2076"/>
      <c r="ASU233" s="2076"/>
      <c r="ASV233" s="2076"/>
      <c r="ASW233" s="2076"/>
      <c r="ASX233" s="2076"/>
      <c r="ASY233" s="2076"/>
      <c r="ASZ233" s="2076"/>
      <c r="ATA233" s="2076"/>
      <c r="ATB233" s="2076"/>
      <c r="ATC233" s="2076"/>
      <c r="ATD233" s="2076"/>
      <c r="ATE233" s="2076"/>
      <c r="ATF233" s="2076"/>
      <c r="ATG233" s="2076"/>
      <c r="ATH233" s="2076"/>
      <c r="ATI233" s="2076"/>
      <c r="ATJ233" s="2076"/>
      <c r="ATK233" s="2076"/>
      <c r="ATL233" s="2076"/>
      <c r="ATM233" s="2076"/>
      <c r="ATN233" s="2076"/>
      <c r="ATO233" s="2076"/>
      <c r="ATP233" s="2076"/>
      <c r="ATQ233" s="2076"/>
      <c r="ATR233" s="2076"/>
      <c r="ATS233" s="2076"/>
      <c r="ATT233" s="2076"/>
      <c r="ATU233" s="2076"/>
      <c r="ATV233" s="2076"/>
      <c r="ATW233" s="2076"/>
      <c r="ATX233" s="2076"/>
      <c r="ATY233" s="2076"/>
      <c r="ATZ233" s="2076"/>
      <c r="AUA233" s="2076"/>
      <c r="AUB233" s="2076"/>
      <c r="AUC233" s="2076"/>
      <c r="AUD233" s="2076"/>
      <c r="AUE233" s="2076"/>
      <c r="AUF233" s="2076"/>
      <c r="AUG233" s="2076"/>
      <c r="AUH233" s="2076"/>
      <c r="AUI233" s="2076"/>
      <c r="AUJ233" s="2076"/>
      <c r="AUK233" s="2076"/>
      <c r="AUL233" s="2076"/>
      <c r="AUM233" s="2076"/>
      <c r="AUN233" s="2076"/>
      <c r="AUO233" s="2076"/>
      <c r="AUP233" s="2076"/>
      <c r="AUQ233" s="2076"/>
      <c r="AUR233" s="2076"/>
      <c r="AUS233" s="2076"/>
      <c r="AUT233" s="2076"/>
      <c r="AUU233" s="2076"/>
      <c r="AUV233" s="2076"/>
      <c r="AUW233" s="2076"/>
      <c r="AUX233" s="2076"/>
      <c r="AUY233" s="2076"/>
      <c r="AUZ233" s="2076"/>
      <c r="AVA233" s="2076"/>
      <c r="AVB233" s="2076"/>
      <c r="AVC233" s="2076"/>
      <c r="AVD233" s="2076"/>
      <c r="AVE233" s="2076"/>
      <c r="AVF233" s="2076"/>
      <c r="AVG233" s="2076"/>
      <c r="AVH233" s="2076"/>
      <c r="AVI233" s="2076"/>
      <c r="AVJ233" s="2076"/>
      <c r="AVK233" s="2076"/>
      <c r="AVL233" s="2076"/>
      <c r="AVM233" s="2076"/>
      <c r="AVN233" s="2076"/>
      <c r="AVO233" s="2076"/>
      <c r="AVP233" s="2076"/>
      <c r="AVQ233" s="2076"/>
      <c r="AVR233" s="2076"/>
      <c r="AVS233" s="2076"/>
      <c r="AVT233" s="2076"/>
      <c r="AVU233" s="2076"/>
      <c r="AVV233" s="2076"/>
      <c r="AVW233" s="2076"/>
      <c r="AVX233" s="2076"/>
      <c r="AVY233" s="2076"/>
      <c r="AVZ233" s="2076"/>
      <c r="AWA233" s="2076"/>
      <c r="AWB233" s="2076"/>
      <c r="AWC233" s="2076"/>
      <c r="AWD233" s="2076"/>
      <c r="AWE233" s="2076"/>
      <c r="AWF233" s="2076"/>
      <c r="AWG233" s="2076"/>
      <c r="AWH233" s="2076"/>
      <c r="AWI233" s="2076"/>
      <c r="AWJ233" s="2076"/>
      <c r="AWK233" s="2076"/>
      <c r="AWL233" s="2076"/>
      <c r="AWM233" s="2076"/>
      <c r="AWN233" s="2076"/>
      <c r="AWO233" s="2076"/>
      <c r="AWP233" s="2076"/>
      <c r="AWQ233" s="2076"/>
      <c r="AWR233" s="2076"/>
      <c r="AWS233" s="2076"/>
      <c r="AWT233" s="2076"/>
      <c r="AWU233" s="2076"/>
      <c r="AWV233" s="2076"/>
      <c r="AWW233" s="2076"/>
      <c r="AWX233" s="2076"/>
      <c r="AWY233" s="2076"/>
      <c r="AWZ233" s="2076"/>
      <c r="AXA233" s="2076"/>
      <c r="AXB233" s="2076"/>
      <c r="AXC233" s="2076"/>
      <c r="AXD233" s="2076"/>
      <c r="AXE233" s="2076"/>
      <c r="AXF233" s="2076"/>
      <c r="AXG233" s="2076"/>
      <c r="AXH233" s="2076"/>
      <c r="AXI233" s="2076"/>
      <c r="AXJ233" s="2076"/>
    </row>
    <row r="234" spans="1:1310" s="2077" customFormat="1" ht="23.25" customHeight="1">
      <c r="A234" s="2092"/>
      <c r="B234" s="3238" t="s">
        <v>2390</v>
      </c>
      <c r="C234" s="3238"/>
      <c r="D234" s="3238"/>
      <c r="E234" s="3238"/>
      <c r="F234" s="2086"/>
      <c r="G234" s="3238" t="s">
        <v>2391</v>
      </c>
      <c r="H234" s="3238"/>
      <c r="I234" s="3238"/>
      <c r="J234" s="2086"/>
      <c r="K234" s="3239" t="s">
        <v>2392</v>
      </c>
      <c r="L234" s="3239"/>
      <c r="M234" s="3239"/>
      <c r="N234" s="2086"/>
      <c r="O234" s="3238" t="s">
        <v>2393</v>
      </c>
      <c r="P234" s="3238"/>
      <c r="Q234" s="2086"/>
      <c r="R234" s="755"/>
      <c r="S234" s="755"/>
      <c r="T234" s="755"/>
      <c r="U234" s="755"/>
      <c r="V234" s="755"/>
      <c r="W234" s="755"/>
      <c r="X234" s="755"/>
      <c r="Y234" s="755"/>
      <c r="Z234" s="755"/>
      <c r="AA234" s="755"/>
      <c r="AB234" s="755"/>
      <c r="AC234" s="755"/>
      <c r="AD234" s="2075"/>
      <c r="AE234" s="2075"/>
      <c r="AF234" s="2075"/>
      <c r="AG234" s="2075"/>
      <c r="AH234" s="2075"/>
      <c r="AI234" s="2075"/>
      <c r="AJ234" s="2075"/>
      <c r="AK234" s="2075"/>
      <c r="AL234" s="2075"/>
      <c r="AM234" s="2075"/>
      <c r="AN234" s="2075"/>
      <c r="AO234" s="2075"/>
      <c r="AP234" s="2075"/>
      <c r="AQ234" s="2075"/>
      <c r="AR234" s="2075"/>
      <c r="AS234" s="2075"/>
      <c r="AT234" s="2075"/>
      <c r="AU234" s="2075"/>
      <c r="AV234" s="2076"/>
      <c r="AW234" s="2076"/>
      <c r="AX234" s="2076"/>
      <c r="AY234" s="2076"/>
      <c r="AZ234" s="2076"/>
      <c r="BA234" s="2076"/>
      <c r="BB234" s="2076"/>
      <c r="BC234" s="2076"/>
      <c r="BD234" s="2076"/>
      <c r="BE234" s="2076"/>
      <c r="BF234" s="2076"/>
      <c r="BG234" s="2076"/>
      <c r="BH234" s="2076"/>
      <c r="BI234" s="2076"/>
      <c r="BJ234" s="2076"/>
      <c r="BK234" s="2076"/>
      <c r="BL234" s="2076"/>
      <c r="BM234" s="2076"/>
      <c r="BN234" s="2076"/>
      <c r="BO234" s="2076"/>
      <c r="BP234" s="2076"/>
      <c r="BQ234" s="2076"/>
      <c r="BR234" s="2076"/>
      <c r="BS234" s="2076"/>
      <c r="BT234" s="2076"/>
      <c r="BU234" s="2076"/>
      <c r="BV234" s="2076"/>
      <c r="BW234" s="2076"/>
      <c r="BX234" s="2076"/>
      <c r="BY234" s="2076"/>
      <c r="BZ234" s="2076"/>
      <c r="CA234" s="2076"/>
      <c r="CB234" s="2076"/>
      <c r="CC234" s="2076"/>
      <c r="CD234" s="2076"/>
      <c r="CE234" s="2076"/>
      <c r="CF234" s="2076"/>
      <c r="CG234" s="2076"/>
      <c r="CH234" s="2076"/>
      <c r="CI234" s="2076"/>
      <c r="CJ234" s="2076"/>
      <c r="CK234" s="2076"/>
      <c r="CL234" s="2076"/>
      <c r="CM234" s="2076"/>
      <c r="CN234" s="2076"/>
      <c r="CO234" s="2076"/>
      <c r="CP234" s="2076"/>
      <c r="CQ234" s="2076"/>
      <c r="CR234" s="2076"/>
      <c r="CS234" s="2076"/>
      <c r="CT234" s="2076"/>
      <c r="CU234" s="2076"/>
      <c r="CV234" s="2076"/>
      <c r="CW234" s="2076"/>
      <c r="CX234" s="2076"/>
      <c r="CY234" s="2076"/>
      <c r="CZ234" s="2076"/>
      <c r="DA234" s="2076"/>
      <c r="DB234" s="2076"/>
      <c r="DC234" s="2076"/>
      <c r="DD234" s="2076"/>
      <c r="DE234" s="2076"/>
      <c r="DF234" s="2076"/>
      <c r="DG234" s="2076"/>
      <c r="DH234" s="2076"/>
      <c r="DI234" s="2076"/>
      <c r="DJ234" s="2076"/>
      <c r="DK234" s="2076"/>
      <c r="DL234" s="2076"/>
      <c r="DM234" s="2076"/>
      <c r="DN234" s="2076"/>
      <c r="DO234" s="2076"/>
      <c r="DP234" s="2076"/>
      <c r="DQ234" s="2076"/>
      <c r="DR234" s="2076"/>
      <c r="DS234" s="2076"/>
      <c r="DT234" s="2076"/>
      <c r="DU234" s="2076"/>
      <c r="DV234" s="2076"/>
      <c r="DW234" s="2076"/>
      <c r="DX234" s="2076"/>
      <c r="DY234" s="2076"/>
      <c r="DZ234" s="2076"/>
      <c r="EA234" s="2076"/>
      <c r="EB234" s="2076"/>
      <c r="EC234" s="2076"/>
      <c r="ED234" s="2076"/>
      <c r="EE234" s="2076"/>
      <c r="EF234" s="2076"/>
      <c r="EG234" s="2076"/>
      <c r="EH234" s="2076"/>
      <c r="EI234" s="2076"/>
      <c r="EJ234" s="2076"/>
      <c r="EK234" s="2076"/>
      <c r="EL234" s="2076"/>
      <c r="EM234" s="2076"/>
      <c r="EN234" s="2076"/>
      <c r="EO234" s="2076"/>
      <c r="EP234" s="2076"/>
      <c r="EQ234" s="2076"/>
      <c r="ER234" s="2076"/>
      <c r="ES234" s="2076"/>
      <c r="ET234" s="2076"/>
      <c r="EU234" s="2076"/>
      <c r="EV234" s="2076"/>
      <c r="EW234" s="2076"/>
      <c r="EX234" s="2076"/>
      <c r="EY234" s="2076"/>
      <c r="EZ234" s="2076"/>
      <c r="FA234" s="2076"/>
      <c r="FB234" s="2076"/>
      <c r="FC234" s="2076"/>
      <c r="FD234" s="2076"/>
      <c r="FE234" s="2076"/>
      <c r="FF234" s="2076"/>
      <c r="FG234" s="2076"/>
      <c r="FH234" s="2076"/>
      <c r="FI234" s="2076"/>
      <c r="FJ234" s="2076"/>
      <c r="FK234" s="2076"/>
      <c r="FL234" s="2076"/>
      <c r="FM234" s="2076"/>
      <c r="FN234" s="2076"/>
      <c r="FO234" s="2076"/>
      <c r="FP234" s="2076"/>
      <c r="FQ234" s="2076"/>
      <c r="FR234" s="2076"/>
      <c r="FS234" s="2076"/>
      <c r="FT234" s="2076"/>
      <c r="FU234" s="2076"/>
      <c r="FV234" s="2076"/>
      <c r="FW234" s="2076"/>
      <c r="FX234" s="2076"/>
      <c r="FY234" s="2076"/>
      <c r="FZ234" s="2076"/>
      <c r="GA234" s="2076"/>
      <c r="GB234" s="2076"/>
      <c r="GC234" s="2076"/>
      <c r="GD234" s="2076"/>
      <c r="GE234" s="2076"/>
      <c r="GF234" s="2076"/>
      <c r="GG234" s="2076"/>
      <c r="GH234" s="2076"/>
      <c r="GI234" s="2076"/>
      <c r="GJ234" s="2076"/>
      <c r="GK234" s="2076"/>
      <c r="GL234" s="2076"/>
      <c r="GM234" s="2076"/>
      <c r="GN234" s="2076"/>
      <c r="GO234" s="2076"/>
      <c r="GP234" s="2076"/>
      <c r="GQ234" s="2076"/>
      <c r="GR234" s="2076"/>
      <c r="GS234" s="2076"/>
      <c r="GT234" s="2076"/>
      <c r="GU234" s="2076"/>
      <c r="GV234" s="2076"/>
      <c r="GW234" s="2076"/>
      <c r="GX234" s="2076"/>
      <c r="GY234" s="2076"/>
      <c r="GZ234" s="2076"/>
      <c r="HA234" s="2076"/>
      <c r="HB234" s="2076"/>
      <c r="HC234" s="2076"/>
      <c r="HD234" s="2076"/>
      <c r="HE234" s="2076"/>
      <c r="HF234" s="2076"/>
      <c r="HG234" s="2076"/>
      <c r="HH234" s="2076"/>
      <c r="HI234" s="2076"/>
      <c r="HJ234" s="2076"/>
      <c r="HK234" s="2076"/>
      <c r="HL234" s="2076"/>
      <c r="HM234" s="2076"/>
      <c r="HN234" s="2076"/>
      <c r="HO234" s="2076"/>
      <c r="HP234" s="2076"/>
      <c r="HQ234" s="2076"/>
      <c r="HR234" s="2076"/>
      <c r="HS234" s="2076"/>
      <c r="HT234" s="2076"/>
      <c r="HU234" s="2076"/>
      <c r="HV234" s="2076"/>
      <c r="HW234" s="2076"/>
      <c r="HX234" s="2076"/>
      <c r="HY234" s="2076"/>
      <c r="HZ234" s="2076"/>
      <c r="IA234" s="2076"/>
      <c r="IB234" s="2076"/>
      <c r="IC234" s="2076"/>
      <c r="ID234" s="2076"/>
      <c r="IE234" s="2076"/>
      <c r="IF234" s="2076"/>
      <c r="IG234" s="2076"/>
      <c r="IH234" s="2076"/>
      <c r="II234" s="2076"/>
      <c r="IJ234" s="2076"/>
      <c r="IK234" s="2076"/>
      <c r="IL234" s="2076"/>
      <c r="IM234" s="2076"/>
      <c r="IN234" s="2076"/>
      <c r="IO234" s="2076"/>
      <c r="IP234" s="2076"/>
      <c r="IQ234" s="2076"/>
      <c r="IR234" s="2076"/>
      <c r="IS234" s="2076"/>
      <c r="IT234" s="2076"/>
      <c r="IU234" s="2076"/>
      <c r="IV234" s="2076"/>
      <c r="IW234" s="2076"/>
      <c r="IX234" s="2076"/>
      <c r="IY234" s="2076"/>
      <c r="IZ234" s="2076"/>
      <c r="JA234" s="2076"/>
      <c r="JB234" s="2076"/>
      <c r="JC234" s="2076"/>
      <c r="JD234" s="2076"/>
      <c r="JE234" s="2076"/>
      <c r="JF234" s="2076"/>
      <c r="JG234" s="2076"/>
      <c r="JH234" s="2076"/>
      <c r="JI234" s="2076"/>
      <c r="JJ234" s="2076"/>
      <c r="JK234" s="2076"/>
      <c r="JL234" s="2076"/>
      <c r="JM234" s="2076"/>
      <c r="JN234" s="2076"/>
      <c r="JO234" s="2076"/>
      <c r="JP234" s="2076"/>
      <c r="JQ234" s="2076"/>
      <c r="JR234" s="2076"/>
      <c r="JS234" s="2076"/>
      <c r="JT234" s="2076"/>
      <c r="JU234" s="2076"/>
      <c r="JV234" s="2076"/>
      <c r="JW234" s="2076"/>
      <c r="JX234" s="2076"/>
      <c r="JY234" s="2076"/>
      <c r="JZ234" s="2076"/>
      <c r="KA234" s="2076"/>
      <c r="KB234" s="2076"/>
      <c r="KC234" s="2076"/>
      <c r="KD234" s="2076"/>
      <c r="KE234" s="2076"/>
      <c r="KF234" s="2076"/>
      <c r="KG234" s="2076"/>
      <c r="KH234" s="2076"/>
      <c r="KI234" s="2076"/>
      <c r="KJ234" s="2076"/>
      <c r="KK234" s="2076"/>
      <c r="KL234" s="2076"/>
      <c r="KM234" s="2076"/>
      <c r="KN234" s="2076"/>
      <c r="KO234" s="2076"/>
      <c r="KP234" s="2076"/>
      <c r="KQ234" s="2076"/>
      <c r="KR234" s="2076"/>
      <c r="KS234" s="2076"/>
      <c r="KT234" s="2076"/>
      <c r="KU234" s="2076"/>
      <c r="KV234" s="2076"/>
      <c r="KW234" s="2076"/>
      <c r="KX234" s="2076"/>
      <c r="KY234" s="2076"/>
      <c r="KZ234" s="2076"/>
      <c r="LA234" s="2076"/>
      <c r="LB234" s="2076"/>
      <c r="LC234" s="2076"/>
      <c r="LD234" s="2076"/>
      <c r="LE234" s="2076"/>
      <c r="LF234" s="2076"/>
      <c r="LG234" s="2076"/>
      <c r="LH234" s="2076"/>
      <c r="LI234" s="2076"/>
      <c r="LJ234" s="2076"/>
      <c r="LK234" s="2076"/>
      <c r="LL234" s="2076"/>
      <c r="LM234" s="2076"/>
      <c r="LN234" s="2076"/>
      <c r="LO234" s="2076"/>
      <c r="LP234" s="2076"/>
      <c r="LQ234" s="2076"/>
      <c r="LR234" s="2076"/>
      <c r="LS234" s="2076"/>
      <c r="LT234" s="2076"/>
      <c r="LU234" s="2076"/>
      <c r="LV234" s="2076"/>
      <c r="LW234" s="2076"/>
      <c r="LX234" s="2076"/>
      <c r="LY234" s="2076"/>
      <c r="LZ234" s="2076"/>
      <c r="MA234" s="2076"/>
      <c r="MB234" s="2076"/>
      <c r="MC234" s="2076"/>
      <c r="MD234" s="2076"/>
      <c r="ME234" s="2076"/>
      <c r="MF234" s="2076"/>
      <c r="MG234" s="2076"/>
      <c r="MH234" s="2076"/>
      <c r="MI234" s="2076"/>
      <c r="MJ234" s="2076"/>
      <c r="MK234" s="2076"/>
      <c r="ML234" s="2076"/>
      <c r="MM234" s="2076"/>
      <c r="MN234" s="2076"/>
      <c r="MO234" s="2076"/>
      <c r="MP234" s="2076"/>
      <c r="MQ234" s="2076"/>
      <c r="MR234" s="2076"/>
      <c r="MS234" s="2076"/>
      <c r="MT234" s="2076"/>
      <c r="MU234" s="2076"/>
      <c r="MV234" s="2076"/>
      <c r="MW234" s="2076"/>
      <c r="MX234" s="2076"/>
      <c r="MY234" s="2076"/>
      <c r="MZ234" s="2076"/>
      <c r="NA234" s="2076"/>
      <c r="NB234" s="2076"/>
      <c r="NC234" s="2076"/>
      <c r="ND234" s="2076"/>
      <c r="NE234" s="2076"/>
      <c r="NF234" s="2076"/>
      <c r="NG234" s="2076"/>
      <c r="NH234" s="2076"/>
      <c r="NI234" s="2076"/>
      <c r="NJ234" s="2076"/>
      <c r="NK234" s="2076"/>
      <c r="NL234" s="2076"/>
      <c r="NM234" s="2076"/>
      <c r="NN234" s="2076"/>
      <c r="NO234" s="2076"/>
      <c r="NP234" s="2076"/>
      <c r="NQ234" s="2076"/>
      <c r="NR234" s="2076"/>
      <c r="NS234" s="2076"/>
      <c r="NT234" s="2076"/>
      <c r="NU234" s="2076"/>
      <c r="NV234" s="2076"/>
      <c r="NW234" s="2076"/>
      <c r="NX234" s="2076"/>
      <c r="NY234" s="2076"/>
      <c r="NZ234" s="2076"/>
      <c r="OA234" s="2076"/>
      <c r="OB234" s="2076"/>
      <c r="OC234" s="2076"/>
      <c r="OD234" s="2076"/>
      <c r="OE234" s="2076"/>
      <c r="OF234" s="2076"/>
      <c r="OG234" s="2076"/>
      <c r="OH234" s="2076"/>
      <c r="OI234" s="2076"/>
      <c r="OJ234" s="2076"/>
      <c r="OK234" s="2076"/>
      <c r="OL234" s="2076"/>
      <c r="OM234" s="2076"/>
      <c r="ON234" s="2076"/>
      <c r="OO234" s="2076"/>
      <c r="OP234" s="2076"/>
      <c r="OQ234" s="2076"/>
      <c r="OR234" s="2076"/>
      <c r="OS234" s="2076"/>
      <c r="OT234" s="2076"/>
      <c r="OU234" s="2076"/>
      <c r="OV234" s="2076"/>
      <c r="OW234" s="2076"/>
      <c r="OX234" s="2076"/>
      <c r="OY234" s="2076"/>
      <c r="OZ234" s="2076"/>
      <c r="PA234" s="2076"/>
      <c r="PB234" s="2076"/>
      <c r="PC234" s="2076"/>
      <c r="PD234" s="2076"/>
      <c r="PE234" s="2076"/>
      <c r="PF234" s="2076"/>
      <c r="PG234" s="2076"/>
      <c r="PH234" s="2076"/>
      <c r="PI234" s="2076"/>
      <c r="PJ234" s="2076"/>
      <c r="PK234" s="2076"/>
      <c r="PL234" s="2076"/>
      <c r="PM234" s="2076"/>
      <c r="PN234" s="2076"/>
      <c r="PO234" s="2076"/>
      <c r="PP234" s="2076"/>
      <c r="PQ234" s="2076"/>
      <c r="PR234" s="2076"/>
      <c r="PS234" s="2076"/>
      <c r="PT234" s="2076"/>
      <c r="PU234" s="2076"/>
      <c r="PV234" s="2076"/>
      <c r="PW234" s="2076"/>
      <c r="PX234" s="2076"/>
      <c r="PY234" s="2076"/>
      <c r="PZ234" s="2076"/>
      <c r="QA234" s="2076"/>
      <c r="QB234" s="2076"/>
      <c r="QC234" s="2076"/>
      <c r="QD234" s="2076"/>
      <c r="QE234" s="2076"/>
      <c r="QF234" s="2076"/>
      <c r="QG234" s="2076"/>
      <c r="QH234" s="2076"/>
      <c r="QI234" s="2076"/>
      <c r="QJ234" s="2076"/>
      <c r="QK234" s="2076"/>
      <c r="QL234" s="2076"/>
      <c r="QM234" s="2076"/>
      <c r="QN234" s="2076"/>
      <c r="QO234" s="2076"/>
      <c r="QP234" s="2076"/>
      <c r="QQ234" s="2076"/>
      <c r="QR234" s="2076"/>
      <c r="QS234" s="2076"/>
      <c r="QT234" s="2076"/>
      <c r="QU234" s="2076"/>
      <c r="QV234" s="2076"/>
      <c r="QW234" s="2076"/>
      <c r="QX234" s="2076"/>
      <c r="QY234" s="2076"/>
      <c r="QZ234" s="2076"/>
      <c r="RA234" s="2076"/>
      <c r="RB234" s="2076"/>
      <c r="RC234" s="2076"/>
      <c r="RD234" s="2076"/>
      <c r="RE234" s="2076"/>
      <c r="RF234" s="2076"/>
      <c r="RG234" s="2076"/>
      <c r="RH234" s="2076"/>
      <c r="RI234" s="2076"/>
      <c r="RJ234" s="2076"/>
      <c r="RK234" s="2076"/>
      <c r="RL234" s="2076"/>
      <c r="RM234" s="2076"/>
      <c r="RN234" s="2076"/>
      <c r="RO234" s="2076"/>
      <c r="RP234" s="2076"/>
      <c r="RQ234" s="2076"/>
      <c r="RR234" s="2076"/>
      <c r="RS234" s="2076"/>
      <c r="RT234" s="2076"/>
      <c r="RU234" s="2076"/>
      <c r="RV234" s="2076"/>
      <c r="RW234" s="2076"/>
      <c r="RX234" s="2076"/>
      <c r="RY234" s="2076"/>
      <c r="RZ234" s="2076"/>
      <c r="SA234" s="2076"/>
      <c r="SB234" s="2076"/>
      <c r="SC234" s="2076"/>
      <c r="SD234" s="2076"/>
      <c r="SE234" s="2076"/>
      <c r="SF234" s="2076"/>
      <c r="SG234" s="2076"/>
      <c r="SH234" s="2076"/>
      <c r="SI234" s="2076"/>
      <c r="SJ234" s="2076"/>
      <c r="SK234" s="2076"/>
      <c r="SL234" s="2076"/>
      <c r="SM234" s="2076"/>
      <c r="SN234" s="2076"/>
      <c r="SO234" s="2076"/>
      <c r="SP234" s="2076"/>
      <c r="SQ234" s="2076"/>
      <c r="SR234" s="2076"/>
      <c r="SS234" s="2076"/>
      <c r="ST234" s="2076"/>
      <c r="SU234" s="2076"/>
      <c r="SV234" s="2076"/>
      <c r="SW234" s="2076"/>
      <c r="SX234" s="2076"/>
      <c r="SY234" s="2076"/>
      <c r="SZ234" s="2076"/>
      <c r="TA234" s="2076"/>
      <c r="TB234" s="2076"/>
      <c r="TC234" s="2076"/>
      <c r="TD234" s="2076"/>
      <c r="TE234" s="2076"/>
      <c r="TF234" s="2076"/>
      <c r="TG234" s="2076"/>
      <c r="TH234" s="2076"/>
      <c r="TI234" s="2076"/>
      <c r="TJ234" s="2076"/>
      <c r="TK234" s="2076"/>
      <c r="TL234" s="2076"/>
      <c r="TM234" s="2076"/>
      <c r="TN234" s="2076"/>
      <c r="TO234" s="2076"/>
      <c r="TP234" s="2076"/>
      <c r="TQ234" s="2076"/>
      <c r="TR234" s="2076"/>
      <c r="TS234" s="2076"/>
      <c r="TT234" s="2076"/>
      <c r="TU234" s="2076"/>
      <c r="TV234" s="2076"/>
      <c r="TW234" s="2076"/>
      <c r="TX234" s="2076"/>
      <c r="TY234" s="2076"/>
      <c r="TZ234" s="2076"/>
      <c r="UA234" s="2076"/>
      <c r="UB234" s="2076"/>
      <c r="UC234" s="2076"/>
      <c r="UD234" s="2076"/>
      <c r="UE234" s="2076"/>
      <c r="UF234" s="2076"/>
      <c r="UG234" s="2076"/>
      <c r="UH234" s="2076"/>
      <c r="UI234" s="2076"/>
      <c r="UJ234" s="2076"/>
      <c r="UK234" s="2076"/>
      <c r="UL234" s="2076"/>
      <c r="UM234" s="2076"/>
      <c r="UN234" s="2076"/>
      <c r="UO234" s="2076"/>
      <c r="UP234" s="2076"/>
      <c r="UQ234" s="2076"/>
      <c r="UR234" s="2076"/>
      <c r="US234" s="2076"/>
      <c r="UT234" s="2076"/>
      <c r="UU234" s="2076"/>
      <c r="UV234" s="2076"/>
      <c r="UW234" s="2076"/>
      <c r="UX234" s="2076"/>
      <c r="UY234" s="2076"/>
      <c r="UZ234" s="2076"/>
      <c r="VA234" s="2076"/>
      <c r="VB234" s="2076"/>
      <c r="VC234" s="2076"/>
      <c r="VD234" s="2076"/>
      <c r="VE234" s="2076"/>
      <c r="VF234" s="2076"/>
      <c r="VG234" s="2076"/>
      <c r="VH234" s="2076"/>
      <c r="VI234" s="2076"/>
      <c r="VJ234" s="2076"/>
      <c r="VK234" s="2076"/>
      <c r="VL234" s="2076"/>
      <c r="VM234" s="2076"/>
      <c r="VN234" s="2076"/>
      <c r="VO234" s="2076"/>
      <c r="VP234" s="2076"/>
      <c r="VQ234" s="2076"/>
      <c r="VR234" s="2076"/>
      <c r="VS234" s="2076"/>
      <c r="VT234" s="2076"/>
      <c r="VU234" s="2076"/>
      <c r="VV234" s="2076"/>
      <c r="VW234" s="2076"/>
      <c r="VX234" s="2076"/>
      <c r="VY234" s="2076"/>
      <c r="VZ234" s="2076"/>
      <c r="WA234" s="2076"/>
      <c r="WB234" s="2076"/>
      <c r="WC234" s="2076"/>
      <c r="WD234" s="2076"/>
      <c r="WE234" s="2076"/>
      <c r="WF234" s="2076"/>
      <c r="WG234" s="2076"/>
      <c r="WH234" s="2076"/>
      <c r="WI234" s="2076"/>
      <c r="WJ234" s="2076"/>
      <c r="WK234" s="2076"/>
      <c r="WL234" s="2076"/>
      <c r="WM234" s="2076"/>
      <c r="WN234" s="2076"/>
      <c r="WO234" s="2076"/>
      <c r="WP234" s="2076"/>
      <c r="WQ234" s="2076"/>
      <c r="WR234" s="2076"/>
      <c r="WS234" s="2076"/>
      <c r="WT234" s="2076"/>
      <c r="WU234" s="2076"/>
      <c r="WV234" s="2076"/>
      <c r="WW234" s="2076"/>
      <c r="WX234" s="2076"/>
      <c r="WY234" s="2076"/>
      <c r="WZ234" s="2076"/>
      <c r="XA234" s="2076"/>
      <c r="XB234" s="2076"/>
      <c r="XC234" s="2076"/>
      <c r="XD234" s="2076"/>
      <c r="XE234" s="2076"/>
      <c r="XF234" s="2076"/>
      <c r="XG234" s="2076"/>
      <c r="XH234" s="2076"/>
      <c r="XI234" s="2076"/>
      <c r="XJ234" s="2076"/>
      <c r="XK234" s="2076"/>
      <c r="XL234" s="2076"/>
      <c r="XM234" s="2076"/>
      <c r="XN234" s="2076"/>
      <c r="XO234" s="2076"/>
      <c r="XP234" s="2076"/>
      <c r="XQ234" s="2076"/>
      <c r="XR234" s="2076"/>
      <c r="XS234" s="2076"/>
      <c r="XT234" s="2076"/>
      <c r="XU234" s="2076"/>
      <c r="XV234" s="2076"/>
      <c r="XW234" s="2076"/>
      <c r="XX234" s="2076"/>
      <c r="XY234" s="2076"/>
      <c r="XZ234" s="2076"/>
      <c r="YA234" s="2076"/>
      <c r="YB234" s="2076"/>
      <c r="YC234" s="2076"/>
      <c r="YD234" s="2076"/>
      <c r="YE234" s="2076"/>
      <c r="YF234" s="2076"/>
      <c r="YG234" s="2076"/>
      <c r="YH234" s="2076"/>
      <c r="YI234" s="2076"/>
      <c r="YJ234" s="2076"/>
      <c r="YK234" s="2076"/>
      <c r="YL234" s="2076"/>
      <c r="YM234" s="2076"/>
      <c r="YN234" s="2076"/>
      <c r="YO234" s="2076"/>
      <c r="YP234" s="2076"/>
      <c r="YQ234" s="2076"/>
      <c r="YR234" s="2076"/>
      <c r="YS234" s="2076"/>
      <c r="YT234" s="2076"/>
      <c r="YU234" s="2076"/>
      <c r="YV234" s="2076"/>
      <c r="YW234" s="2076"/>
      <c r="YX234" s="2076"/>
      <c r="YY234" s="2076"/>
      <c r="YZ234" s="2076"/>
      <c r="ZA234" s="2076"/>
      <c r="ZB234" s="2076"/>
      <c r="ZC234" s="2076"/>
      <c r="ZD234" s="2076"/>
      <c r="ZE234" s="2076"/>
      <c r="ZF234" s="2076"/>
      <c r="ZG234" s="2076"/>
      <c r="ZH234" s="2076"/>
      <c r="ZI234" s="2076"/>
      <c r="ZJ234" s="2076"/>
      <c r="ZK234" s="2076"/>
      <c r="ZL234" s="2076"/>
      <c r="ZM234" s="2076"/>
      <c r="ZN234" s="2076"/>
      <c r="ZO234" s="2076"/>
      <c r="ZP234" s="2076"/>
      <c r="ZQ234" s="2076"/>
      <c r="ZR234" s="2076"/>
      <c r="ZS234" s="2076"/>
      <c r="ZT234" s="2076"/>
      <c r="ZU234" s="2076"/>
      <c r="ZV234" s="2076"/>
      <c r="ZW234" s="2076"/>
      <c r="ZX234" s="2076"/>
      <c r="ZY234" s="2076"/>
      <c r="ZZ234" s="2076"/>
      <c r="AAA234" s="2076"/>
      <c r="AAB234" s="2076"/>
      <c r="AAC234" s="2076"/>
      <c r="AAD234" s="2076"/>
      <c r="AAE234" s="2076"/>
      <c r="AAF234" s="2076"/>
      <c r="AAG234" s="2076"/>
      <c r="AAH234" s="2076"/>
      <c r="AAI234" s="2076"/>
      <c r="AAJ234" s="2076"/>
      <c r="AAK234" s="2076"/>
      <c r="AAL234" s="2076"/>
      <c r="AAM234" s="2076"/>
      <c r="AAN234" s="2076"/>
      <c r="AAO234" s="2076"/>
      <c r="AAP234" s="2076"/>
      <c r="AAQ234" s="2076"/>
      <c r="AAR234" s="2076"/>
      <c r="AAS234" s="2076"/>
      <c r="AAT234" s="2076"/>
      <c r="AAU234" s="2076"/>
      <c r="AAV234" s="2076"/>
      <c r="AAW234" s="2076"/>
      <c r="AAX234" s="2076"/>
      <c r="AAY234" s="2076"/>
      <c r="AAZ234" s="2076"/>
      <c r="ABA234" s="2076"/>
      <c r="ABB234" s="2076"/>
      <c r="ABC234" s="2076"/>
      <c r="ABD234" s="2076"/>
      <c r="ABE234" s="2076"/>
      <c r="ABF234" s="2076"/>
      <c r="ABG234" s="2076"/>
      <c r="ABH234" s="2076"/>
      <c r="ABI234" s="2076"/>
      <c r="ABJ234" s="2076"/>
      <c r="ABK234" s="2076"/>
      <c r="ABL234" s="2076"/>
      <c r="ABM234" s="2076"/>
      <c r="ABN234" s="2076"/>
      <c r="ABO234" s="2076"/>
      <c r="ABP234" s="2076"/>
      <c r="ABQ234" s="2076"/>
      <c r="ABR234" s="2076"/>
      <c r="ABS234" s="2076"/>
      <c r="ABT234" s="2076"/>
      <c r="ABU234" s="2076"/>
      <c r="ABV234" s="2076"/>
      <c r="ABW234" s="2076"/>
      <c r="ABX234" s="2076"/>
      <c r="ABY234" s="2076"/>
      <c r="ABZ234" s="2076"/>
      <c r="ACA234" s="2076"/>
      <c r="ACB234" s="2076"/>
      <c r="ACC234" s="2076"/>
      <c r="ACD234" s="2076"/>
      <c r="ACE234" s="2076"/>
      <c r="ACF234" s="2076"/>
      <c r="ACG234" s="2076"/>
      <c r="ACH234" s="2076"/>
      <c r="ACI234" s="2076"/>
      <c r="ACJ234" s="2076"/>
      <c r="ACK234" s="2076"/>
      <c r="ACL234" s="2076"/>
      <c r="ACM234" s="2076"/>
      <c r="ACN234" s="2076"/>
      <c r="ACO234" s="2076"/>
      <c r="ACP234" s="2076"/>
      <c r="ACQ234" s="2076"/>
      <c r="ACR234" s="2076"/>
      <c r="ACS234" s="2076"/>
      <c r="ACT234" s="2076"/>
      <c r="ACU234" s="2076"/>
      <c r="ACV234" s="2076"/>
      <c r="ACW234" s="2076"/>
      <c r="ACX234" s="2076"/>
      <c r="ACY234" s="2076"/>
      <c r="ACZ234" s="2076"/>
      <c r="ADA234" s="2076"/>
      <c r="ADB234" s="2076"/>
      <c r="ADC234" s="2076"/>
      <c r="ADD234" s="2076"/>
      <c r="ADE234" s="2076"/>
      <c r="ADF234" s="2076"/>
      <c r="ADG234" s="2076"/>
      <c r="ADH234" s="2076"/>
      <c r="ADI234" s="2076"/>
      <c r="ADJ234" s="2076"/>
      <c r="ADK234" s="2076"/>
      <c r="ADL234" s="2076"/>
      <c r="ADM234" s="2076"/>
      <c r="ADN234" s="2076"/>
      <c r="ADO234" s="2076"/>
      <c r="ADP234" s="2076"/>
      <c r="ADQ234" s="2076"/>
      <c r="ADR234" s="2076"/>
      <c r="ADS234" s="2076"/>
      <c r="ADT234" s="2076"/>
      <c r="ADU234" s="2076"/>
      <c r="ADV234" s="2076"/>
      <c r="ADW234" s="2076"/>
      <c r="ADX234" s="2076"/>
      <c r="ADY234" s="2076"/>
      <c r="ADZ234" s="2076"/>
      <c r="AEA234" s="2076"/>
      <c r="AEB234" s="2076"/>
      <c r="AEC234" s="2076"/>
      <c r="AED234" s="2076"/>
      <c r="AEE234" s="2076"/>
      <c r="AEF234" s="2076"/>
      <c r="AEG234" s="2076"/>
      <c r="AEH234" s="2076"/>
      <c r="AEI234" s="2076"/>
      <c r="AEJ234" s="2076"/>
      <c r="AEK234" s="2076"/>
      <c r="AEL234" s="2076"/>
      <c r="AEM234" s="2076"/>
      <c r="AEN234" s="2076"/>
      <c r="AEO234" s="2076"/>
      <c r="AEP234" s="2076"/>
      <c r="AEQ234" s="2076"/>
      <c r="AER234" s="2076"/>
      <c r="AES234" s="2076"/>
      <c r="AET234" s="2076"/>
      <c r="AEU234" s="2076"/>
      <c r="AEV234" s="2076"/>
      <c r="AEW234" s="2076"/>
      <c r="AEX234" s="2076"/>
      <c r="AEY234" s="2076"/>
      <c r="AEZ234" s="2076"/>
      <c r="AFA234" s="2076"/>
      <c r="AFB234" s="2076"/>
      <c r="AFC234" s="2076"/>
      <c r="AFD234" s="2076"/>
      <c r="AFE234" s="2076"/>
      <c r="AFF234" s="2076"/>
      <c r="AFG234" s="2076"/>
      <c r="AFH234" s="2076"/>
      <c r="AFI234" s="2076"/>
      <c r="AFJ234" s="2076"/>
      <c r="AFK234" s="2076"/>
      <c r="AFL234" s="2076"/>
      <c r="AFM234" s="2076"/>
      <c r="AFN234" s="2076"/>
      <c r="AFO234" s="2076"/>
      <c r="AFP234" s="2076"/>
      <c r="AFQ234" s="2076"/>
      <c r="AFR234" s="2076"/>
      <c r="AFS234" s="2076"/>
      <c r="AFT234" s="2076"/>
      <c r="AFU234" s="2076"/>
      <c r="AFV234" s="2076"/>
      <c r="AFW234" s="2076"/>
      <c r="AFX234" s="2076"/>
      <c r="AFY234" s="2076"/>
      <c r="AFZ234" s="2076"/>
      <c r="AGA234" s="2076"/>
      <c r="AGB234" s="2076"/>
      <c r="AGC234" s="2076"/>
      <c r="AGD234" s="2076"/>
      <c r="AGE234" s="2076"/>
      <c r="AGF234" s="2076"/>
      <c r="AGG234" s="2076"/>
      <c r="AGH234" s="2076"/>
      <c r="AGI234" s="2076"/>
      <c r="AGJ234" s="2076"/>
      <c r="AGK234" s="2076"/>
      <c r="AGL234" s="2076"/>
      <c r="AGM234" s="2076"/>
      <c r="AGN234" s="2076"/>
      <c r="AGO234" s="2076"/>
      <c r="AGP234" s="2076"/>
      <c r="AGQ234" s="2076"/>
      <c r="AGR234" s="2076"/>
      <c r="AGS234" s="2076"/>
      <c r="AGT234" s="2076"/>
      <c r="AGU234" s="2076"/>
      <c r="AGV234" s="2076"/>
      <c r="AGW234" s="2076"/>
      <c r="AGX234" s="2076"/>
      <c r="AGY234" s="2076"/>
      <c r="AGZ234" s="2076"/>
      <c r="AHA234" s="2076"/>
      <c r="AHB234" s="2076"/>
      <c r="AHC234" s="2076"/>
      <c r="AHD234" s="2076"/>
      <c r="AHE234" s="2076"/>
      <c r="AHF234" s="2076"/>
      <c r="AHG234" s="2076"/>
      <c r="AHH234" s="2076"/>
      <c r="AHI234" s="2076"/>
      <c r="AHJ234" s="2076"/>
      <c r="AHK234" s="2076"/>
      <c r="AHL234" s="2076"/>
      <c r="AHM234" s="2076"/>
      <c r="AHN234" s="2076"/>
      <c r="AHO234" s="2076"/>
      <c r="AHP234" s="2076"/>
      <c r="AHQ234" s="2076"/>
      <c r="AHR234" s="2076"/>
      <c r="AHS234" s="2076"/>
      <c r="AHT234" s="2076"/>
      <c r="AHU234" s="2076"/>
      <c r="AHV234" s="2076"/>
      <c r="AHW234" s="2076"/>
      <c r="AHX234" s="2076"/>
      <c r="AHY234" s="2076"/>
      <c r="AHZ234" s="2076"/>
      <c r="AIA234" s="2076"/>
      <c r="AIB234" s="2076"/>
      <c r="AIC234" s="2076"/>
      <c r="AID234" s="2076"/>
      <c r="AIE234" s="2076"/>
      <c r="AIF234" s="2076"/>
      <c r="AIG234" s="2076"/>
      <c r="AIH234" s="2076"/>
      <c r="AII234" s="2076"/>
      <c r="AIJ234" s="2076"/>
      <c r="AIK234" s="2076"/>
      <c r="AIL234" s="2076"/>
      <c r="AIM234" s="2076"/>
      <c r="AIN234" s="2076"/>
      <c r="AIO234" s="2076"/>
      <c r="AIP234" s="2076"/>
      <c r="AIQ234" s="2076"/>
      <c r="AIR234" s="2076"/>
      <c r="AIS234" s="2076"/>
      <c r="AIT234" s="2076"/>
      <c r="AIU234" s="2076"/>
      <c r="AIV234" s="2076"/>
      <c r="AIW234" s="2076"/>
      <c r="AIX234" s="2076"/>
      <c r="AIY234" s="2076"/>
      <c r="AIZ234" s="2076"/>
      <c r="AJA234" s="2076"/>
      <c r="AJB234" s="2076"/>
      <c r="AJC234" s="2076"/>
      <c r="AJD234" s="2076"/>
      <c r="AJE234" s="2076"/>
      <c r="AJF234" s="2076"/>
      <c r="AJG234" s="2076"/>
      <c r="AJH234" s="2076"/>
      <c r="AJI234" s="2076"/>
      <c r="AJJ234" s="2076"/>
      <c r="AJK234" s="2076"/>
      <c r="AJL234" s="2076"/>
      <c r="AJM234" s="2076"/>
      <c r="AJN234" s="2076"/>
      <c r="AJO234" s="2076"/>
      <c r="AJP234" s="2076"/>
      <c r="AJQ234" s="2076"/>
      <c r="AJR234" s="2076"/>
      <c r="AJS234" s="2076"/>
      <c r="AJT234" s="2076"/>
      <c r="AJU234" s="2076"/>
      <c r="AJV234" s="2076"/>
      <c r="AJW234" s="2076"/>
      <c r="AJX234" s="2076"/>
      <c r="AJY234" s="2076"/>
      <c r="AJZ234" s="2076"/>
      <c r="AKA234" s="2076"/>
      <c r="AKB234" s="2076"/>
      <c r="AKC234" s="2076"/>
      <c r="AKD234" s="2076"/>
      <c r="AKE234" s="2076"/>
      <c r="AKF234" s="2076"/>
      <c r="AKG234" s="2076"/>
      <c r="AKH234" s="2076"/>
      <c r="AKI234" s="2076"/>
      <c r="AKJ234" s="2076"/>
      <c r="AKK234" s="2076"/>
      <c r="AKL234" s="2076"/>
      <c r="AKM234" s="2076"/>
      <c r="AKN234" s="2076"/>
      <c r="AKO234" s="2076"/>
      <c r="AKP234" s="2076"/>
      <c r="AKQ234" s="2076"/>
      <c r="AKR234" s="2076"/>
      <c r="AKS234" s="2076"/>
      <c r="AKT234" s="2076"/>
      <c r="AKU234" s="2076"/>
      <c r="AKV234" s="2076"/>
      <c r="AKW234" s="2076"/>
      <c r="AKX234" s="2076"/>
      <c r="AKY234" s="2076"/>
      <c r="AKZ234" s="2076"/>
      <c r="ALA234" s="2076"/>
      <c r="ALB234" s="2076"/>
      <c r="ALC234" s="2076"/>
      <c r="ALD234" s="2076"/>
      <c r="ALE234" s="2076"/>
      <c r="ALF234" s="2076"/>
      <c r="ALG234" s="2076"/>
      <c r="ALH234" s="2076"/>
      <c r="ALI234" s="2076"/>
      <c r="ALJ234" s="2076"/>
      <c r="ALK234" s="2076"/>
      <c r="ALL234" s="2076"/>
      <c r="ALM234" s="2076"/>
      <c r="ALN234" s="2076"/>
      <c r="ALO234" s="2076"/>
      <c r="ALP234" s="2076"/>
      <c r="ALQ234" s="2076"/>
      <c r="ALR234" s="2076"/>
      <c r="ALS234" s="2076"/>
      <c r="ALT234" s="2076"/>
      <c r="ALU234" s="2076"/>
      <c r="ALV234" s="2076"/>
      <c r="ALW234" s="2076"/>
      <c r="ALX234" s="2076"/>
      <c r="ALY234" s="2076"/>
      <c r="ALZ234" s="2076"/>
      <c r="AMA234" s="2076"/>
      <c r="AMB234" s="2076"/>
      <c r="AMC234" s="2076"/>
      <c r="AMD234" s="2076"/>
      <c r="AME234" s="2076"/>
      <c r="AMF234" s="2076"/>
      <c r="AMG234" s="2076"/>
      <c r="AMH234" s="2076"/>
      <c r="AMI234" s="2076"/>
      <c r="AMJ234" s="2076"/>
      <c r="AMK234" s="2076"/>
      <c r="AML234" s="2076"/>
      <c r="AMM234" s="2076"/>
      <c r="AMN234" s="2076"/>
      <c r="AMO234" s="2076"/>
      <c r="AMP234" s="2076"/>
      <c r="AMQ234" s="2076"/>
      <c r="AMR234" s="2076"/>
      <c r="AMS234" s="2076"/>
      <c r="AMT234" s="2076"/>
      <c r="AMU234" s="2076"/>
      <c r="AMV234" s="2076"/>
      <c r="AMW234" s="2076"/>
      <c r="AMX234" s="2076"/>
      <c r="AMY234" s="2076"/>
      <c r="AMZ234" s="2076"/>
      <c r="ANA234" s="2076"/>
      <c r="ANB234" s="2076"/>
      <c r="ANC234" s="2076"/>
      <c r="AND234" s="2076"/>
      <c r="ANE234" s="2076"/>
      <c r="ANF234" s="2076"/>
      <c r="ANG234" s="2076"/>
      <c r="ANH234" s="2076"/>
      <c r="ANI234" s="2076"/>
      <c r="ANJ234" s="2076"/>
      <c r="ANK234" s="2076"/>
      <c r="ANL234" s="2076"/>
      <c r="ANM234" s="2076"/>
      <c r="ANN234" s="2076"/>
      <c r="ANO234" s="2076"/>
      <c r="ANP234" s="2076"/>
      <c r="ANQ234" s="2076"/>
      <c r="ANR234" s="2076"/>
      <c r="ANS234" s="2076"/>
      <c r="ANT234" s="2076"/>
      <c r="ANU234" s="2076"/>
      <c r="ANV234" s="2076"/>
      <c r="ANW234" s="2076"/>
      <c r="ANX234" s="2076"/>
      <c r="ANY234" s="2076"/>
      <c r="ANZ234" s="2076"/>
      <c r="AOA234" s="2076"/>
      <c r="AOB234" s="2076"/>
      <c r="AOC234" s="2076"/>
      <c r="AOD234" s="2076"/>
      <c r="AOE234" s="2076"/>
      <c r="AOF234" s="2076"/>
      <c r="AOG234" s="2076"/>
      <c r="AOH234" s="2076"/>
      <c r="AOI234" s="2076"/>
      <c r="AOJ234" s="2076"/>
      <c r="AOK234" s="2076"/>
      <c r="AOL234" s="2076"/>
      <c r="AOM234" s="2076"/>
      <c r="AON234" s="2076"/>
      <c r="AOO234" s="2076"/>
      <c r="AOP234" s="2076"/>
      <c r="AOQ234" s="2076"/>
      <c r="AOR234" s="2076"/>
      <c r="AOS234" s="2076"/>
      <c r="AOT234" s="2076"/>
      <c r="AOU234" s="2076"/>
      <c r="AOV234" s="2076"/>
      <c r="AOW234" s="2076"/>
      <c r="AOX234" s="2076"/>
      <c r="AOY234" s="2076"/>
      <c r="AOZ234" s="2076"/>
      <c r="APA234" s="2076"/>
      <c r="APB234" s="2076"/>
      <c r="APC234" s="2076"/>
      <c r="APD234" s="2076"/>
      <c r="APE234" s="2076"/>
      <c r="APF234" s="2076"/>
      <c r="APG234" s="2076"/>
      <c r="APH234" s="2076"/>
      <c r="API234" s="2076"/>
      <c r="APJ234" s="2076"/>
      <c r="APK234" s="2076"/>
      <c r="APL234" s="2076"/>
      <c r="APM234" s="2076"/>
      <c r="APN234" s="2076"/>
      <c r="APO234" s="2076"/>
      <c r="APP234" s="2076"/>
      <c r="APQ234" s="2076"/>
      <c r="APR234" s="2076"/>
      <c r="APS234" s="2076"/>
      <c r="APT234" s="2076"/>
      <c r="APU234" s="2076"/>
      <c r="APV234" s="2076"/>
      <c r="APW234" s="2076"/>
      <c r="APX234" s="2076"/>
      <c r="APY234" s="2076"/>
      <c r="APZ234" s="2076"/>
      <c r="AQA234" s="2076"/>
      <c r="AQB234" s="2076"/>
      <c r="AQC234" s="2076"/>
      <c r="AQD234" s="2076"/>
      <c r="AQE234" s="2076"/>
      <c r="AQF234" s="2076"/>
      <c r="AQG234" s="2076"/>
      <c r="AQH234" s="2076"/>
      <c r="AQI234" s="2076"/>
      <c r="AQJ234" s="2076"/>
      <c r="AQK234" s="2076"/>
      <c r="AQL234" s="2076"/>
      <c r="AQM234" s="2076"/>
      <c r="AQN234" s="2076"/>
      <c r="AQO234" s="2076"/>
      <c r="AQP234" s="2076"/>
      <c r="AQQ234" s="2076"/>
      <c r="AQR234" s="2076"/>
      <c r="AQS234" s="2076"/>
      <c r="AQT234" s="2076"/>
      <c r="AQU234" s="2076"/>
      <c r="AQV234" s="2076"/>
      <c r="AQW234" s="2076"/>
      <c r="AQX234" s="2076"/>
      <c r="AQY234" s="2076"/>
      <c r="AQZ234" s="2076"/>
      <c r="ARA234" s="2076"/>
      <c r="ARB234" s="2076"/>
      <c r="ARC234" s="2076"/>
      <c r="ARD234" s="2076"/>
      <c r="ARE234" s="2076"/>
      <c r="ARF234" s="2076"/>
      <c r="ARG234" s="2076"/>
      <c r="ARH234" s="2076"/>
      <c r="ARI234" s="2076"/>
      <c r="ARJ234" s="2076"/>
      <c r="ARK234" s="2076"/>
      <c r="ARL234" s="2076"/>
      <c r="ARM234" s="2076"/>
      <c r="ARN234" s="2076"/>
      <c r="ARO234" s="2076"/>
      <c r="ARP234" s="2076"/>
      <c r="ARQ234" s="2076"/>
      <c r="ARR234" s="2076"/>
      <c r="ARS234" s="2076"/>
      <c r="ART234" s="2076"/>
      <c r="ARU234" s="2076"/>
      <c r="ARV234" s="2076"/>
      <c r="ARW234" s="2076"/>
      <c r="ARX234" s="2076"/>
      <c r="ARY234" s="2076"/>
      <c r="ARZ234" s="2076"/>
      <c r="ASA234" s="2076"/>
      <c r="ASB234" s="2076"/>
      <c r="ASC234" s="2076"/>
      <c r="ASD234" s="2076"/>
      <c r="ASE234" s="2076"/>
      <c r="ASF234" s="2076"/>
      <c r="ASG234" s="2076"/>
      <c r="ASH234" s="2076"/>
      <c r="ASI234" s="2076"/>
      <c r="ASJ234" s="2076"/>
      <c r="ASK234" s="2076"/>
      <c r="ASL234" s="2076"/>
      <c r="ASM234" s="2076"/>
      <c r="ASN234" s="2076"/>
      <c r="ASO234" s="2076"/>
      <c r="ASP234" s="2076"/>
      <c r="ASQ234" s="2076"/>
      <c r="ASR234" s="2076"/>
      <c r="ASS234" s="2076"/>
      <c r="AST234" s="2076"/>
      <c r="ASU234" s="2076"/>
      <c r="ASV234" s="2076"/>
      <c r="ASW234" s="2076"/>
      <c r="ASX234" s="2076"/>
      <c r="ASY234" s="2076"/>
      <c r="ASZ234" s="2076"/>
      <c r="ATA234" s="2076"/>
      <c r="ATB234" s="2076"/>
      <c r="ATC234" s="2076"/>
      <c r="ATD234" s="2076"/>
      <c r="ATE234" s="2076"/>
      <c r="ATF234" s="2076"/>
      <c r="ATG234" s="2076"/>
      <c r="ATH234" s="2076"/>
      <c r="ATI234" s="2076"/>
      <c r="ATJ234" s="2076"/>
      <c r="ATK234" s="2076"/>
      <c r="ATL234" s="2076"/>
      <c r="ATM234" s="2076"/>
      <c r="ATN234" s="2076"/>
      <c r="ATO234" s="2076"/>
      <c r="ATP234" s="2076"/>
      <c r="ATQ234" s="2076"/>
      <c r="ATR234" s="2076"/>
      <c r="ATS234" s="2076"/>
      <c r="ATT234" s="2076"/>
      <c r="ATU234" s="2076"/>
      <c r="ATV234" s="2076"/>
      <c r="ATW234" s="2076"/>
      <c r="ATX234" s="2076"/>
      <c r="ATY234" s="2076"/>
      <c r="ATZ234" s="2076"/>
      <c r="AUA234" s="2076"/>
      <c r="AUB234" s="2076"/>
      <c r="AUC234" s="2076"/>
      <c r="AUD234" s="2076"/>
      <c r="AUE234" s="2076"/>
      <c r="AUF234" s="2076"/>
      <c r="AUG234" s="2076"/>
      <c r="AUH234" s="2076"/>
      <c r="AUI234" s="2076"/>
      <c r="AUJ234" s="2076"/>
      <c r="AUK234" s="2076"/>
      <c r="AUL234" s="2076"/>
      <c r="AUM234" s="2076"/>
      <c r="AUN234" s="2076"/>
      <c r="AUO234" s="2076"/>
      <c r="AUP234" s="2076"/>
      <c r="AUQ234" s="2076"/>
      <c r="AUR234" s="2076"/>
      <c r="AUS234" s="2076"/>
      <c r="AUT234" s="2076"/>
      <c r="AUU234" s="2076"/>
      <c r="AUV234" s="2076"/>
      <c r="AUW234" s="2076"/>
      <c r="AUX234" s="2076"/>
      <c r="AUY234" s="2076"/>
      <c r="AUZ234" s="2076"/>
      <c r="AVA234" s="2076"/>
      <c r="AVB234" s="2076"/>
      <c r="AVC234" s="2076"/>
      <c r="AVD234" s="2076"/>
      <c r="AVE234" s="2076"/>
      <c r="AVF234" s="2076"/>
      <c r="AVG234" s="2076"/>
      <c r="AVH234" s="2076"/>
      <c r="AVI234" s="2076"/>
      <c r="AVJ234" s="2076"/>
      <c r="AVK234" s="2076"/>
      <c r="AVL234" s="2076"/>
      <c r="AVM234" s="2076"/>
      <c r="AVN234" s="2076"/>
      <c r="AVO234" s="2076"/>
      <c r="AVP234" s="2076"/>
      <c r="AVQ234" s="2076"/>
      <c r="AVR234" s="2076"/>
      <c r="AVS234" s="2076"/>
      <c r="AVT234" s="2076"/>
      <c r="AVU234" s="2076"/>
      <c r="AVV234" s="2076"/>
      <c r="AVW234" s="2076"/>
      <c r="AVX234" s="2076"/>
      <c r="AVY234" s="2076"/>
      <c r="AVZ234" s="2076"/>
      <c r="AWA234" s="2076"/>
      <c r="AWB234" s="2076"/>
      <c r="AWC234" s="2076"/>
      <c r="AWD234" s="2076"/>
      <c r="AWE234" s="2076"/>
      <c r="AWF234" s="2076"/>
      <c r="AWG234" s="2076"/>
      <c r="AWH234" s="2076"/>
      <c r="AWI234" s="2076"/>
      <c r="AWJ234" s="2076"/>
      <c r="AWK234" s="2076"/>
      <c r="AWL234" s="2076"/>
      <c r="AWM234" s="2076"/>
      <c r="AWN234" s="2076"/>
      <c r="AWO234" s="2076"/>
      <c r="AWP234" s="2076"/>
      <c r="AWQ234" s="2076"/>
      <c r="AWR234" s="2076"/>
      <c r="AWS234" s="2076"/>
      <c r="AWT234" s="2076"/>
      <c r="AWU234" s="2076"/>
      <c r="AWV234" s="2076"/>
      <c r="AWW234" s="2076"/>
      <c r="AWX234" s="2076"/>
      <c r="AWY234" s="2076"/>
      <c r="AWZ234" s="2076"/>
      <c r="AXA234" s="2076"/>
      <c r="AXB234" s="2076"/>
      <c r="AXC234" s="2076"/>
      <c r="AXD234" s="2076"/>
      <c r="AXE234" s="2076"/>
      <c r="AXF234" s="2076"/>
      <c r="AXG234" s="2076"/>
      <c r="AXH234" s="2076"/>
      <c r="AXI234" s="2076"/>
      <c r="AXJ234" s="2076"/>
    </row>
    <row r="235" spans="1:1310" s="2077" customFormat="1" ht="23.25" customHeight="1">
      <c r="A235" s="2092"/>
      <c r="B235" s="2078"/>
      <c r="C235" s="2078"/>
      <c r="D235" s="2078"/>
      <c r="E235" s="2078"/>
      <c r="F235" s="2086"/>
      <c r="G235" s="2079"/>
      <c r="H235" s="2079"/>
      <c r="I235" s="2079"/>
      <c r="J235" s="2087"/>
      <c r="K235" s="2079"/>
      <c r="L235" s="2079"/>
      <c r="M235" s="2079"/>
      <c r="N235" s="2087"/>
      <c r="O235" s="3238" t="s">
        <v>2394</v>
      </c>
      <c r="P235" s="3238"/>
      <c r="Q235" s="2087"/>
      <c r="R235" s="755"/>
      <c r="S235" s="755"/>
      <c r="T235" s="755"/>
      <c r="U235" s="755"/>
      <c r="V235" s="755"/>
      <c r="W235" s="755"/>
      <c r="X235" s="755"/>
      <c r="Y235" s="755"/>
      <c r="Z235" s="755"/>
      <c r="AA235" s="755"/>
      <c r="AB235" s="755"/>
      <c r="AC235" s="755"/>
      <c r="AD235" s="2075"/>
      <c r="AE235" s="2075"/>
      <c r="AF235" s="2075"/>
      <c r="AG235" s="2075"/>
      <c r="AH235" s="2075"/>
      <c r="AI235" s="2075"/>
      <c r="AJ235" s="2075"/>
      <c r="AK235" s="2075"/>
      <c r="AL235" s="2075"/>
      <c r="AM235" s="2075"/>
      <c r="AN235" s="2075"/>
      <c r="AO235" s="2075"/>
      <c r="AP235" s="2075"/>
      <c r="AQ235" s="2075"/>
      <c r="AR235" s="2075"/>
      <c r="AS235" s="2075"/>
      <c r="AT235" s="2075"/>
      <c r="AU235" s="2075"/>
      <c r="AV235" s="2076"/>
      <c r="AW235" s="2076"/>
      <c r="AX235" s="2076"/>
      <c r="AY235" s="2076"/>
      <c r="AZ235" s="2076"/>
      <c r="BA235" s="2076"/>
      <c r="BB235" s="2076"/>
      <c r="BC235" s="2076"/>
      <c r="BD235" s="2076"/>
      <c r="BE235" s="2076"/>
      <c r="BF235" s="2076"/>
      <c r="BG235" s="2076"/>
      <c r="BH235" s="2076"/>
      <c r="BI235" s="2076"/>
      <c r="BJ235" s="2076"/>
      <c r="BK235" s="2076"/>
      <c r="BL235" s="2076"/>
      <c r="BM235" s="2076"/>
      <c r="BN235" s="2076"/>
      <c r="BO235" s="2076"/>
      <c r="BP235" s="2076"/>
      <c r="BQ235" s="2076"/>
      <c r="BR235" s="2076"/>
      <c r="BS235" s="2076"/>
      <c r="BT235" s="2076"/>
      <c r="BU235" s="2076"/>
      <c r="BV235" s="2076"/>
      <c r="BW235" s="2076"/>
      <c r="BX235" s="2076"/>
      <c r="BY235" s="2076"/>
      <c r="BZ235" s="2076"/>
      <c r="CA235" s="2076"/>
      <c r="CB235" s="2076"/>
      <c r="CC235" s="2076"/>
      <c r="CD235" s="2076"/>
      <c r="CE235" s="2076"/>
      <c r="CF235" s="2076"/>
      <c r="CG235" s="2076"/>
      <c r="CH235" s="2076"/>
      <c r="CI235" s="2076"/>
      <c r="CJ235" s="2076"/>
      <c r="CK235" s="2076"/>
      <c r="CL235" s="2076"/>
      <c r="CM235" s="2076"/>
      <c r="CN235" s="2076"/>
      <c r="CO235" s="2076"/>
      <c r="CP235" s="2076"/>
      <c r="CQ235" s="2076"/>
      <c r="CR235" s="2076"/>
      <c r="CS235" s="2076"/>
      <c r="CT235" s="2076"/>
      <c r="CU235" s="2076"/>
      <c r="CV235" s="2076"/>
      <c r="CW235" s="2076"/>
      <c r="CX235" s="2076"/>
      <c r="CY235" s="2076"/>
      <c r="CZ235" s="2076"/>
      <c r="DA235" s="2076"/>
      <c r="DB235" s="2076"/>
      <c r="DC235" s="2076"/>
      <c r="DD235" s="2076"/>
      <c r="DE235" s="2076"/>
      <c r="DF235" s="2076"/>
      <c r="DG235" s="2076"/>
      <c r="DH235" s="2076"/>
      <c r="DI235" s="2076"/>
      <c r="DJ235" s="2076"/>
      <c r="DK235" s="2076"/>
      <c r="DL235" s="2076"/>
      <c r="DM235" s="2076"/>
      <c r="DN235" s="2076"/>
      <c r="DO235" s="2076"/>
      <c r="DP235" s="2076"/>
      <c r="DQ235" s="2076"/>
      <c r="DR235" s="2076"/>
      <c r="DS235" s="2076"/>
      <c r="DT235" s="2076"/>
      <c r="DU235" s="2076"/>
      <c r="DV235" s="2076"/>
      <c r="DW235" s="2076"/>
      <c r="DX235" s="2076"/>
      <c r="DY235" s="2076"/>
      <c r="DZ235" s="2076"/>
      <c r="EA235" s="2076"/>
      <c r="EB235" s="2076"/>
      <c r="EC235" s="2076"/>
      <c r="ED235" s="2076"/>
      <c r="EE235" s="2076"/>
      <c r="EF235" s="2076"/>
      <c r="EG235" s="2076"/>
      <c r="EH235" s="2076"/>
      <c r="EI235" s="2076"/>
      <c r="EJ235" s="2076"/>
      <c r="EK235" s="2076"/>
      <c r="EL235" s="2076"/>
      <c r="EM235" s="2076"/>
      <c r="EN235" s="2076"/>
      <c r="EO235" s="2076"/>
      <c r="EP235" s="2076"/>
      <c r="EQ235" s="2076"/>
      <c r="ER235" s="2076"/>
      <c r="ES235" s="2076"/>
      <c r="ET235" s="2076"/>
      <c r="EU235" s="2076"/>
      <c r="EV235" s="2076"/>
      <c r="EW235" s="2076"/>
      <c r="EX235" s="2076"/>
      <c r="EY235" s="2076"/>
      <c r="EZ235" s="2076"/>
      <c r="FA235" s="2076"/>
      <c r="FB235" s="2076"/>
      <c r="FC235" s="2076"/>
      <c r="FD235" s="2076"/>
      <c r="FE235" s="2076"/>
      <c r="FF235" s="2076"/>
      <c r="FG235" s="2076"/>
      <c r="FH235" s="2076"/>
      <c r="FI235" s="2076"/>
      <c r="FJ235" s="2076"/>
      <c r="FK235" s="2076"/>
      <c r="FL235" s="2076"/>
      <c r="FM235" s="2076"/>
      <c r="FN235" s="2076"/>
      <c r="FO235" s="2076"/>
      <c r="FP235" s="2076"/>
      <c r="FQ235" s="2076"/>
      <c r="FR235" s="2076"/>
      <c r="FS235" s="2076"/>
      <c r="FT235" s="2076"/>
      <c r="FU235" s="2076"/>
      <c r="FV235" s="2076"/>
      <c r="FW235" s="2076"/>
      <c r="FX235" s="2076"/>
      <c r="FY235" s="2076"/>
      <c r="FZ235" s="2076"/>
      <c r="GA235" s="2076"/>
      <c r="GB235" s="2076"/>
      <c r="GC235" s="2076"/>
      <c r="GD235" s="2076"/>
      <c r="GE235" s="2076"/>
      <c r="GF235" s="2076"/>
      <c r="GG235" s="2076"/>
      <c r="GH235" s="2076"/>
      <c r="GI235" s="2076"/>
      <c r="GJ235" s="2076"/>
      <c r="GK235" s="2076"/>
      <c r="GL235" s="2076"/>
      <c r="GM235" s="2076"/>
      <c r="GN235" s="2076"/>
      <c r="GO235" s="2076"/>
      <c r="GP235" s="2076"/>
      <c r="GQ235" s="2076"/>
      <c r="GR235" s="2076"/>
      <c r="GS235" s="2076"/>
      <c r="GT235" s="2076"/>
      <c r="GU235" s="2076"/>
      <c r="GV235" s="2076"/>
      <c r="GW235" s="2076"/>
      <c r="GX235" s="2076"/>
      <c r="GY235" s="2076"/>
      <c r="GZ235" s="2076"/>
      <c r="HA235" s="2076"/>
      <c r="HB235" s="2076"/>
      <c r="HC235" s="2076"/>
      <c r="HD235" s="2076"/>
      <c r="HE235" s="2076"/>
      <c r="HF235" s="2076"/>
      <c r="HG235" s="2076"/>
      <c r="HH235" s="2076"/>
      <c r="HI235" s="2076"/>
      <c r="HJ235" s="2076"/>
      <c r="HK235" s="2076"/>
      <c r="HL235" s="2076"/>
      <c r="HM235" s="2076"/>
      <c r="HN235" s="2076"/>
      <c r="HO235" s="2076"/>
      <c r="HP235" s="2076"/>
      <c r="HQ235" s="2076"/>
      <c r="HR235" s="2076"/>
      <c r="HS235" s="2076"/>
      <c r="HT235" s="2076"/>
      <c r="HU235" s="2076"/>
      <c r="HV235" s="2076"/>
      <c r="HW235" s="2076"/>
      <c r="HX235" s="2076"/>
      <c r="HY235" s="2076"/>
      <c r="HZ235" s="2076"/>
      <c r="IA235" s="2076"/>
      <c r="IB235" s="2076"/>
      <c r="IC235" s="2076"/>
      <c r="ID235" s="2076"/>
      <c r="IE235" s="2076"/>
      <c r="IF235" s="2076"/>
      <c r="IG235" s="2076"/>
      <c r="IH235" s="2076"/>
      <c r="II235" s="2076"/>
      <c r="IJ235" s="2076"/>
      <c r="IK235" s="2076"/>
      <c r="IL235" s="2076"/>
      <c r="IM235" s="2076"/>
      <c r="IN235" s="2076"/>
      <c r="IO235" s="2076"/>
      <c r="IP235" s="2076"/>
      <c r="IQ235" s="2076"/>
      <c r="IR235" s="2076"/>
      <c r="IS235" s="2076"/>
      <c r="IT235" s="2076"/>
      <c r="IU235" s="2076"/>
      <c r="IV235" s="2076"/>
      <c r="IW235" s="2076"/>
      <c r="IX235" s="2076"/>
      <c r="IY235" s="2076"/>
      <c r="IZ235" s="2076"/>
      <c r="JA235" s="2076"/>
      <c r="JB235" s="2076"/>
      <c r="JC235" s="2076"/>
      <c r="JD235" s="2076"/>
      <c r="JE235" s="2076"/>
      <c r="JF235" s="2076"/>
      <c r="JG235" s="2076"/>
      <c r="JH235" s="2076"/>
      <c r="JI235" s="2076"/>
      <c r="JJ235" s="2076"/>
      <c r="JK235" s="2076"/>
      <c r="JL235" s="2076"/>
      <c r="JM235" s="2076"/>
      <c r="JN235" s="2076"/>
      <c r="JO235" s="2076"/>
      <c r="JP235" s="2076"/>
      <c r="JQ235" s="2076"/>
      <c r="JR235" s="2076"/>
      <c r="JS235" s="2076"/>
      <c r="JT235" s="2076"/>
      <c r="JU235" s="2076"/>
      <c r="JV235" s="2076"/>
      <c r="JW235" s="2076"/>
      <c r="JX235" s="2076"/>
      <c r="JY235" s="2076"/>
      <c r="JZ235" s="2076"/>
      <c r="KA235" s="2076"/>
      <c r="KB235" s="2076"/>
      <c r="KC235" s="2076"/>
      <c r="KD235" s="2076"/>
      <c r="KE235" s="2076"/>
      <c r="KF235" s="2076"/>
      <c r="KG235" s="2076"/>
      <c r="KH235" s="2076"/>
      <c r="KI235" s="2076"/>
      <c r="KJ235" s="2076"/>
      <c r="KK235" s="2076"/>
      <c r="KL235" s="2076"/>
      <c r="KM235" s="2076"/>
      <c r="KN235" s="2076"/>
      <c r="KO235" s="2076"/>
      <c r="KP235" s="2076"/>
      <c r="KQ235" s="2076"/>
      <c r="KR235" s="2076"/>
      <c r="KS235" s="2076"/>
      <c r="KT235" s="2076"/>
      <c r="KU235" s="2076"/>
      <c r="KV235" s="2076"/>
      <c r="KW235" s="2076"/>
      <c r="KX235" s="2076"/>
      <c r="KY235" s="2076"/>
      <c r="KZ235" s="2076"/>
      <c r="LA235" s="2076"/>
      <c r="LB235" s="2076"/>
      <c r="LC235" s="2076"/>
      <c r="LD235" s="2076"/>
      <c r="LE235" s="2076"/>
      <c r="LF235" s="2076"/>
      <c r="LG235" s="2076"/>
      <c r="LH235" s="2076"/>
      <c r="LI235" s="2076"/>
      <c r="LJ235" s="2076"/>
      <c r="LK235" s="2076"/>
      <c r="LL235" s="2076"/>
      <c r="LM235" s="2076"/>
      <c r="LN235" s="2076"/>
      <c r="LO235" s="2076"/>
      <c r="LP235" s="2076"/>
      <c r="LQ235" s="2076"/>
      <c r="LR235" s="2076"/>
      <c r="LS235" s="2076"/>
      <c r="LT235" s="2076"/>
      <c r="LU235" s="2076"/>
      <c r="LV235" s="2076"/>
      <c r="LW235" s="2076"/>
      <c r="LX235" s="2076"/>
      <c r="LY235" s="2076"/>
      <c r="LZ235" s="2076"/>
      <c r="MA235" s="2076"/>
      <c r="MB235" s="2076"/>
      <c r="MC235" s="2076"/>
      <c r="MD235" s="2076"/>
      <c r="ME235" s="2076"/>
      <c r="MF235" s="2076"/>
      <c r="MG235" s="2076"/>
      <c r="MH235" s="2076"/>
      <c r="MI235" s="2076"/>
      <c r="MJ235" s="2076"/>
      <c r="MK235" s="2076"/>
      <c r="ML235" s="2076"/>
      <c r="MM235" s="2076"/>
      <c r="MN235" s="2076"/>
      <c r="MO235" s="2076"/>
      <c r="MP235" s="2076"/>
      <c r="MQ235" s="2076"/>
      <c r="MR235" s="2076"/>
      <c r="MS235" s="2076"/>
      <c r="MT235" s="2076"/>
      <c r="MU235" s="2076"/>
      <c r="MV235" s="2076"/>
      <c r="MW235" s="2076"/>
      <c r="MX235" s="2076"/>
      <c r="MY235" s="2076"/>
      <c r="MZ235" s="2076"/>
      <c r="NA235" s="2076"/>
      <c r="NB235" s="2076"/>
      <c r="NC235" s="2076"/>
      <c r="ND235" s="2076"/>
      <c r="NE235" s="2076"/>
      <c r="NF235" s="2076"/>
      <c r="NG235" s="2076"/>
      <c r="NH235" s="2076"/>
      <c r="NI235" s="2076"/>
      <c r="NJ235" s="2076"/>
      <c r="NK235" s="2076"/>
      <c r="NL235" s="2076"/>
      <c r="NM235" s="2076"/>
      <c r="NN235" s="2076"/>
      <c r="NO235" s="2076"/>
      <c r="NP235" s="2076"/>
      <c r="NQ235" s="2076"/>
      <c r="NR235" s="2076"/>
      <c r="NS235" s="2076"/>
      <c r="NT235" s="2076"/>
      <c r="NU235" s="2076"/>
      <c r="NV235" s="2076"/>
      <c r="NW235" s="2076"/>
      <c r="NX235" s="2076"/>
      <c r="NY235" s="2076"/>
      <c r="NZ235" s="2076"/>
      <c r="OA235" s="2076"/>
      <c r="OB235" s="2076"/>
      <c r="OC235" s="2076"/>
      <c r="OD235" s="2076"/>
      <c r="OE235" s="2076"/>
      <c r="OF235" s="2076"/>
      <c r="OG235" s="2076"/>
      <c r="OH235" s="2076"/>
      <c r="OI235" s="2076"/>
      <c r="OJ235" s="2076"/>
      <c r="OK235" s="2076"/>
      <c r="OL235" s="2076"/>
      <c r="OM235" s="2076"/>
      <c r="ON235" s="2076"/>
      <c r="OO235" s="2076"/>
      <c r="OP235" s="2076"/>
      <c r="OQ235" s="2076"/>
      <c r="OR235" s="2076"/>
      <c r="OS235" s="2076"/>
      <c r="OT235" s="2076"/>
      <c r="OU235" s="2076"/>
      <c r="OV235" s="2076"/>
      <c r="OW235" s="2076"/>
      <c r="OX235" s="2076"/>
      <c r="OY235" s="2076"/>
      <c r="OZ235" s="2076"/>
      <c r="PA235" s="2076"/>
      <c r="PB235" s="2076"/>
      <c r="PC235" s="2076"/>
      <c r="PD235" s="2076"/>
      <c r="PE235" s="2076"/>
      <c r="PF235" s="2076"/>
      <c r="PG235" s="2076"/>
      <c r="PH235" s="2076"/>
      <c r="PI235" s="2076"/>
      <c r="PJ235" s="2076"/>
      <c r="PK235" s="2076"/>
      <c r="PL235" s="2076"/>
      <c r="PM235" s="2076"/>
      <c r="PN235" s="2076"/>
      <c r="PO235" s="2076"/>
      <c r="PP235" s="2076"/>
      <c r="PQ235" s="2076"/>
      <c r="PR235" s="2076"/>
      <c r="PS235" s="2076"/>
      <c r="PT235" s="2076"/>
      <c r="PU235" s="2076"/>
      <c r="PV235" s="2076"/>
      <c r="PW235" s="2076"/>
      <c r="PX235" s="2076"/>
      <c r="PY235" s="2076"/>
      <c r="PZ235" s="2076"/>
      <c r="QA235" s="2076"/>
      <c r="QB235" s="2076"/>
      <c r="QC235" s="2076"/>
      <c r="QD235" s="2076"/>
      <c r="QE235" s="2076"/>
      <c r="QF235" s="2076"/>
      <c r="QG235" s="2076"/>
      <c r="QH235" s="2076"/>
      <c r="QI235" s="2076"/>
      <c r="QJ235" s="2076"/>
      <c r="QK235" s="2076"/>
      <c r="QL235" s="2076"/>
      <c r="QM235" s="2076"/>
      <c r="QN235" s="2076"/>
      <c r="QO235" s="2076"/>
      <c r="QP235" s="2076"/>
      <c r="QQ235" s="2076"/>
      <c r="QR235" s="2076"/>
      <c r="QS235" s="2076"/>
      <c r="QT235" s="2076"/>
      <c r="QU235" s="2076"/>
      <c r="QV235" s="2076"/>
      <c r="QW235" s="2076"/>
      <c r="QX235" s="2076"/>
      <c r="QY235" s="2076"/>
      <c r="QZ235" s="2076"/>
      <c r="RA235" s="2076"/>
      <c r="RB235" s="2076"/>
      <c r="RC235" s="2076"/>
      <c r="RD235" s="2076"/>
      <c r="RE235" s="2076"/>
      <c r="RF235" s="2076"/>
      <c r="RG235" s="2076"/>
      <c r="RH235" s="2076"/>
      <c r="RI235" s="2076"/>
      <c r="RJ235" s="2076"/>
      <c r="RK235" s="2076"/>
      <c r="RL235" s="2076"/>
      <c r="RM235" s="2076"/>
      <c r="RN235" s="2076"/>
      <c r="RO235" s="2076"/>
      <c r="RP235" s="2076"/>
      <c r="RQ235" s="2076"/>
      <c r="RR235" s="2076"/>
      <c r="RS235" s="2076"/>
      <c r="RT235" s="2076"/>
      <c r="RU235" s="2076"/>
      <c r="RV235" s="2076"/>
      <c r="RW235" s="2076"/>
      <c r="RX235" s="2076"/>
      <c r="RY235" s="2076"/>
      <c r="RZ235" s="2076"/>
      <c r="SA235" s="2076"/>
      <c r="SB235" s="2076"/>
      <c r="SC235" s="2076"/>
      <c r="SD235" s="2076"/>
      <c r="SE235" s="2076"/>
      <c r="SF235" s="2076"/>
      <c r="SG235" s="2076"/>
      <c r="SH235" s="2076"/>
      <c r="SI235" s="2076"/>
      <c r="SJ235" s="2076"/>
      <c r="SK235" s="2076"/>
      <c r="SL235" s="2076"/>
      <c r="SM235" s="2076"/>
      <c r="SN235" s="2076"/>
      <c r="SO235" s="2076"/>
      <c r="SP235" s="2076"/>
      <c r="SQ235" s="2076"/>
      <c r="SR235" s="2076"/>
      <c r="SS235" s="2076"/>
      <c r="ST235" s="2076"/>
      <c r="SU235" s="2076"/>
      <c r="SV235" s="2076"/>
      <c r="SW235" s="2076"/>
      <c r="SX235" s="2076"/>
      <c r="SY235" s="2076"/>
      <c r="SZ235" s="2076"/>
      <c r="TA235" s="2076"/>
      <c r="TB235" s="2076"/>
      <c r="TC235" s="2076"/>
      <c r="TD235" s="2076"/>
      <c r="TE235" s="2076"/>
      <c r="TF235" s="2076"/>
      <c r="TG235" s="2076"/>
      <c r="TH235" s="2076"/>
      <c r="TI235" s="2076"/>
      <c r="TJ235" s="2076"/>
      <c r="TK235" s="2076"/>
      <c r="TL235" s="2076"/>
      <c r="TM235" s="2076"/>
      <c r="TN235" s="2076"/>
      <c r="TO235" s="2076"/>
      <c r="TP235" s="2076"/>
      <c r="TQ235" s="2076"/>
      <c r="TR235" s="2076"/>
      <c r="TS235" s="2076"/>
      <c r="TT235" s="2076"/>
      <c r="TU235" s="2076"/>
      <c r="TV235" s="2076"/>
      <c r="TW235" s="2076"/>
      <c r="TX235" s="2076"/>
      <c r="TY235" s="2076"/>
      <c r="TZ235" s="2076"/>
      <c r="UA235" s="2076"/>
      <c r="UB235" s="2076"/>
      <c r="UC235" s="2076"/>
      <c r="UD235" s="2076"/>
      <c r="UE235" s="2076"/>
      <c r="UF235" s="2076"/>
      <c r="UG235" s="2076"/>
      <c r="UH235" s="2076"/>
      <c r="UI235" s="2076"/>
      <c r="UJ235" s="2076"/>
      <c r="UK235" s="2076"/>
      <c r="UL235" s="2076"/>
      <c r="UM235" s="2076"/>
      <c r="UN235" s="2076"/>
      <c r="UO235" s="2076"/>
      <c r="UP235" s="2076"/>
      <c r="UQ235" s="2076"/>
      <c r="UR235" s="2076"/>
      <c r="US235" s="2076"/>
      <c r="UT235" s="2076"/>
      <c r="UU235" s="2076"/>
      <c r="UV235" s="2076"/>
      <c r="UW235" s="2076"/>
      <c r="UX235" s="2076"/>
      <c r="UY235" s="2076"/>
      <c r="UZ235" s="2076"/>
      <c r="VA235" s="2076"/>
      <c r="VB235" s="2076"/>
      <c r="VC235" s="2076"/>
      <c r="VD235" s="2076"/>
      <c r="VE235" s="2076"/>
      <c r="VF235" s="2076"/>
      <c r="VG235" s="2076"/>
      <c r="VH235" s="2076"/>
      <c r="VI235" s="2076"/>
      <c r="VJ235" s="2076"/>
      <c r="VK235" s="2076"/>
      <c r="VL235" s="2076"/>
      <c r="VM235" s="2076"/>
      <c r="VN235" s="2076"/>
      <c r="VO235" s="2076"/>
      <c r="VP235" s="2076"/>
      <c r="VQ235" s="2076"/>
      <c r="VR235" s="2076"/>
      <c r="VS235" s="2076"/>
      <c r="VT235" s="2076"/>
      <c r="VU235" s="2076"/>
      <c r="VV235" s="2076"/>
      <c r="VW235" s="2076"/>
      <c r="VX235" s="2076"/>
      <c r="VY235" s="2076"/>
      <c r="VZ235" s="2076"/>
      <c r="WA235" s="2076"/>
      <c r="WB235" s="2076"/>
      <c r="WC235" s="2076"/>
      <c r="WD235" s="2076"/>
      <c r="WE235" s="2076"/>
      <c r="WF235" s="2076"/>
      <c r="WG235" s="2076"/>
      <c r="WH235" s="2076"/>
      <c r="WI235" s="2076"/>
      <c r="WJ235" s="2076"/>
      <c r="WK235" s="2076"/>
      <c r="WL235" s="2076"/>
      <c r="WM235" s="2076"/>
      <c r="WN235" s="2076"/>
      <c r="WO235" s="2076"/>
      <c r="WP235" s="2076"/>
      <c r="WQ235" s="2076"/>
      <c r="WR235" s="2076"/>
      <c r="WS235" s="2076"/>
      <c r="WT235" s="2076"/>
      <c r="WU235" s="2076"/>
      <c r="WV235" s="2076"/>
      <c r="WW235" s="2076"/>
      <c r="WX235" s="2076"/>
      <c r="WY235" s="2076"/>
      <c r="WZ235" s="2076"/>
      <c r="XA235" s="2076"/>
      <c r="XB235" s="2076"/>
      <c r="XC235" s="2076"/>
      <c r="XD235" s="2076"/>
      <c r="XE235" s="2076"/>
      <c r="XF235" s="2076"/>
      <c r="XG235" s="2076"/>
      <c r="XH235" s="2076"/>
      <c r="XI235" s="2076"/>
      <c r="XJ235" s="2076"/>
      <c r="XK235" s="2076"/>
      <c r="XL235" s="2076"/>
      <c r="XM235" s="2076"/>
      <c r="XN235" s="2076"/>
      <c r="XO235" s="2076"/>
      <c r="XP235" s="2076"/>
      <c r="XQ235" s="2076"/>
      <c r="XR235" s="2076"/>
      <c r="XS235" s="2076"/>
      <c r="XT235" s="2076"/>
      <c r="XU235" s="2076"/>
      <c r="XV235" s="2076"/>
      <c r="XW235" s="2076"/>
      <c r="XX235" s="2076"/>
      <c r="XY235" s="2076"/>
      <c r="XZ235" s="2076"/>
      <c r="YA235" s="2076"/>
      <c r="YB235" s="2076"/>
      <c r="YC235" s="2076"/>
      <c r="YD235" s="2076"/>
      <c r="YE235" s="2076"/>
      <c r="YF235" s="2076"/>
      <c r="YG235" s="2076"/>
      <c r="YH235" s="2076"/>
      <c r="YI235" s="2076"/>
      <c r="YJ235" s="2076"/>
      <c r="YK235" s="2076"/>
      <c r="YL235" s="2076"/>
      <c r="YM235" s="2076"/>
      <c r="YN235" s="2076"/>
      <c r="YO235" s="2076"/>
      <c r="YP235" s="2076"/>
      <c r="YQ235" s="2076"/>
      <c r="YR235" s="2076"/>
      <c r="YS235" s="2076"/>
      <c r="YT235" s="2076"/>
      <c r="YU235" s="2076"/>
      <c r="YV235" s="2076"/>
      <c r="YW235" s="2076"/>
      <c r="YX235" s="2076"/>
      <c r="YY235" s="2076"/>
      <c r="YZ235" s="2076"/>
      <c r="ZA235" s="2076"/>
      <c r="ZB235" s="2076"/>
      <c r="ZC235" s="2076"/>
      <c r="ZD235" s="2076"/>
      <c r="ZE235" s="2076"/>
      <c r="ZF235" s="2076"/>
      <c r="ZG235" s="2076"/>
      <c r="ZH235" s="2076"/>
      <c r="ZI235" s="2076"/>
      <c r="ZJ235" s="2076"/>
      <c r="ZK235" s="2076"/>
      <c r="ZL235" s="2076"/>
      <c r="ZM235" s="2076"/>
      <c r="ZN235" s="2076"/>
      <c r="ZO235" s="2076"/>
      <c r="ZP235" s="2076"/>
      <c r="ZQ235" s="2076"/>
      <c r="ZR235" s="2076"/>
      <c r="ZS235" s="2076"/>
      <c r="ZT235" s="2076"/>
      <c r="ZU235" s="2076"/>
      <c r="ZV235" s="2076"/>
      <c r="ZW235" s="2076"/>
      <c r="ZX235" s="2076"/>
      <c r="ZY235" s="2076"/>
      <c r="ZZ235" s="2076"/>
      <c r="AAA235" s="2076"/>
      <c r="AAB235" s="2076"/>
      <c r="AAC235" s="2076"/>
      <c r="AAD235" s="2076"/>
      <c r="AAE235" s="2076"/>
      <c r="AAF235" s="2076"/>
      <c r="AAG235" s="2076"/>
      <c r="AAH235" s="2076"/>
      <c r="AAI235" s="2076"/>
      <c r="AAJ235" s="2076"/>
      <c r="AAK235" s="2076"/>
      <c r="AAL235" s="2076"/>
      <c r="AAM235" s="2076"/>
      <c r="AAN235" s="2076"/>
      <c r="AAO235" s="2076"/>
      <c r="AAP235" s="2076"/>
      <c r="AAQ235" s="2076"/>
      <c r="AAR235" s="2076"/>
      <c r="AAS235" s="2076"/>
      <c r="AAT235" s="2076"/>
      <c r="AAU235" s="2076"/>
      <c r="AAV235" s="2076"/>
      <c r="AAW235" s="2076"/>
      <c r="AAX235" s="2076"/>
      <c r="AAY235" s="2076"/>
      <c r="AAZ235" s="2076"/>
      <c r="ABA235" s="2076"/>
      <c r="ABB235" s="2076"/>
      <c r="ABC235" s="2076"/>
      <c r="ABD235" s="2076"/>
      <c r="ABE235" s="2076"/>
      <c r="ABF235" s="2076"/>
      <c r="ABG235" s="2076"/>
      <c r="ABH235" s="2076"/>
      <c r="ABI235" s="2076"/>
      <c r="ABJ235" s="2076"/>
      <c r="ABK235" s="2076"/>
      <c r="ABL235" s="2076"/>
      <c r="ABM235" s="2076"/>
      <c r="ABN235" s="2076"/>
      <c r="ABO235" s="2076"/>
      <c r="ABP235" s="2076"/>
      <c r="ABQ235" s="2076"/>
      <c r="ABR235" s="2076"/>
      <c r="ABS235" s="2076"/>
      <c r="ABT235" s="2076"/>
      <c r="ABU235" s="2076"/>
      <c r="ABV235" s="2076"/>
      <c r="ABW235" s="2076"/>
      <c r="ABX235" s="2076"/>
      <c r="ABY235" s="2076"/>
      <c r="ABZ235" s="2076"/>
      <c r="ACA235" s="2076"/>
      <c r="ACB235" s="2076"/>
      <c r="ACC235" s="2076"/>
      <c r="ACD235" s="2076"/>
      <c r="ACE235" s="2076"/>
      <c r="ACF235" s="2076"/>
      <c r="ACG235" s="2076"/>
      <c r="ACH235" s="2076"/>
      <c r="ACI235" s="2076"/>
      <c r="ACJ235" s="2076"/>
      <c r="ACK235" s="2076"/>
      <c r="ACL235" s="2076"/>
      <c r="ACM235" s="2076"/>
      <c r="ACN235" s="2076"/>
      <c r="ACO235" s="2076"/>
      <c r="ACP235" s="2076"/>
      <c r="ACQ235" s="2076"/>
      <c r="ACR235" s="2076"/>
      <c r="ACS235" s="2076"/>
      <c r="ACT235" s="2076"/>
      <c r="ACU235" s="2076"/>
      <c r="ACV235" s="2076"/>
      <c r="ACW235" s="2076"/>
      <c r="ACX235" s="2076"/>
      <c r="ACY235" s="2076"/>
      <c r="ACZ235" s="2076"/>
      <c r="ADA235" s="2076"/>
      <c r="ADB235" s="2076"/>
      <c r="ADC235" s="2076"/>
      <c r="ADD235" s="2076"/>
      <c r="ADE235" s="2076"/>
      <c r="ADF235" s="2076"/>
      <c r="ADG235" s="2076"/>
      <c r="ADH235" s="2076"/>
      <c r="ADI235" s="2076"/>
      <c r="ADJ235" s="2076"/>
      <c r="ADK235" s="2076"/>
      <c r="ADL235" s="2076"/>
      <c r="ADM235" s="2076"/>
      <c r="ADN235" s="2076"/>
      <c r="ADO235" s="2076"/>
      <c r="ADP235" s="2076"/>
      <c r="ADQ235" s="2076"/>
      <c r="ADR235" s="2076"/>
      <c r="ADS235" s="2076"/>
      <c r="ADT235" s="2076"/>
      <c r="ADU235" s="2076"/>
      <c r="ADV235" s="2076"/>
      <c r="ADW235" s="2076"/>
      <c r="ADX235" s="2076"/>
      <c r="ADY235" s="2076"/>
      <c r="ADZ235" s="2076"/>
      <c r="AEA235" s="2076"/>
      <c r="AEB235" s="2076"/>
      <c r="AEC235" s="2076"/>
      <c r="AED235" s="2076"/>
      <c r="AEE235" s="2076"/>
      <c r="AEF235" s="2076"/>
      <c r="AEG235" s="2076"/>
      <c r="AEH235" s="2076"/>
      <c r="AEI235" s="2076"/>
      <c r="AEJ235" s="2076"/>
      <c r="AEK235" s="2076"/>
      <c r="AEL235" s="2076"/>
      <c r="AEM235" s="2076"/>
      <c r="AEN235" s="2076"/>
      <c r="AEO235" s="2076"/>
      <c r="AEP235" s="2076"/>
      <c r="AEQ235" s="2076"/>
      <c r="AER235" s="2076"/>
      <c r="AES235" s="2076"/>
      <c r="AET235" s="2076"/>
      <c r="AEU235" s="2076"/>
      <c r="AEV235" s="2076"/>
      <c r="AEW235" s="2076"/>
      <c r="AEX235" s="2076"/>
      <c r="AEY235" s="2076"/>
      <c r="AEZ235" s="2076"/>
      <c r="AFA235" s="2076"/>
      <c r="AFB235" s="2076"/>
      <c r="AFC235" s="2076"/>
      <c r="AFD235" s="2076"/>
      <c r="AFE235" s="2076"/>
      <c r="AFF235" s="2076"/>
      <c r="AFG235" s="2076"/>
      <c r="AFH235" s="2076"/>
      <c r="AFI235" s="2076"/>
      <c r="AFJ235" s="2076"/>
      <c r="AFK235" s="2076"/>
      <c r="AFL235" s="2076"/>
      <c r="AFM235" s="2076"/>
      <c r="AFN235" s="2076"/>
      <c r="AFO235" s="2076"/>
      <c r="AFP235" s="2076"/>
      <c r="AFQ235" s="2076"/>
      <c r="AFR235" s="2076"/>
      <c r="AFS235" s="2076"/>
      <c r="AFT235" s="2076"/>
      <c r="AFU235" s="2076"/>
      <c r="AFV235" s="2076"/>
      <c r="AFW235" s="2076"/>
      <c r="AFX235" s="2076"/>
      <c r="AFY235" s="2076"/>
      <c r="AFZ235" s="2076"/>
      <c r="AGA235" s="2076"/>
      <c r="AGB235" s="2076"/>
      <c r="AGC235" s="2076"/>
      <c r="AGD235" s="2076"/>
      <c r="AGE235" s="2076"/>
      <c r="AGF235" s="2076"/>
      <c r="AGG235" s="2076"/>
      <c r="AGH235" s="2076"/>
      <c r="AGI235" s="2076"/>
      <c r="AGJ235" s="2076"/>
      <c r="AGK235" s="2076"/>
      <c r="AGL235" s="2076"/>
      <c r="AGM235" s="2076"/>
      <c r="AGN235" s="2076"/>
      <c r="AGO235" s="2076"/>
      <c r="AGP235" s="2076"/>
      <c r="AGQ235" s="2076"/>
      <c r="AGR235" s="2076"/>
      <c r="AGS235" s="2076"/>
      <c r="AGT235" s="2076"/>
      <c r="AGU235" s="2076"/>
      <c r="AGV235" s="2076"/>
      <c r="AGW235" s="2076"/>
      <c r="AGX235" s="2076"/>
      <c r="AGY235" s="2076"/>
      <c r="AGZ235" s="2076"/>
      <c r="AHA235" s="2076"/>
      <c r="AHB235" s="2076"/>
      <c r="AHC235" s="2076"/>
      <c r="AHD235" s="2076"/>
      <c r="AHE235" s="2076"/>
      <c r="AHF235" s="2076"/>
      <c r="AHG235" s="2076"/>
      <c r="AHH235" s="2076"/>
      <c r="AHI235" s="2076"/>
      <c r="AHJ235" s="2076"/>
      <c r="AHK235" s="2076"/>
      <c r="AHL235" s="2076"/>
      <c r="AHM235" s="2076"/>
      <c r="AHN235" s="2076"/>
      <c r="AHO235" s="2076"/>
      <c r="AHP235" s="2076"/>
      <c r="AHQ235" s="2076"/>
      <c r="AHR235" s="2076"/>
      <c r="AHS235" s="2076"/>
      <c r="AHT235" s="2076"/>
      <c r="AHU235" s="2076"/>
      <c r="AHV235" s="2076"/>
      <c r="AHW235" s="2076"/>
      <c r="AHX235" s="2076"/>
      <c r="AHY235" s="2076"/>
      <c r="AHZ235" s="2076"/>
      <c r="AIA235" s="2076"/>
      <c r="AIB235" s="2076"/>
      <c r="AIC235" s="2076"/>
      <c r="AID235" s="2076"/>
      <c r="AIE235" s="2076"/>
      <c r="AIF235" s="2076"/>
      <c r="AIG235" s="2076"/>
      <c r="AIH235" s="2076"/>
      <c r="AII235" s="2076"/>
      <c r="AIJ235" s="2076"/>
      <c r="AIK235" s="2076"/>
      <c r="AIL235" s="2076"/>
      <c r="AIM235" s="2076"/>
      <c r="AIN235" s="2076"/>
      <c r="AIO235" s="2076"/>
      <c r="AIP235" s="2076"/>
      <c r="AIQ235" s="2076"/>
      <c r="AIR235" s="2076"/>
      <c r="AIS235" s="2076"/>
      <c r="AIT235" s="2076"/>
      <c r="AIU235" s="2076"/>
      <c r="AIV235" s="2076"/>
      <c r="AIW235" s="2076"/>
      <c r="AIX235" s="2076"/>
      <c r="AIY235" s="2076"/>
      <c r="AIZ235" s="2076"/>
      <c r="AJA235" s="2076"/>
      <c r="AJB235" s="2076"/>
      <c r="AJC235" s="2076"/>
      <c r="AJD235" s="2076"/>
      <c r="AJE235" s="2076"/>
      <c r="AJF235" s="2076"/>
      <c r="AJG235" s="2076"/>
      <c r="AJH235" s="2076"/>
      <c r="AJI235" s="2076"/>
      <c r="AJJ235" s="2076"/>
      <c r="AJK235" s="2076"/>
      <c r="AJL235" s="2076"/>
      <c r="AJM235" s="2076"/>
      <c r="AJN235" s="2076"/>
      <c r="AJO235" s="2076"/>
      <c r="AJP235" s="2076"/>
      <c r="AJQ235" s="2076"/>
      <c r="AJR235" s="2076"/>
      <c r="AJS235" s="2076"/>
      <c r="AJT235" s="2076"/>
      <c r="AJU235" s="2076"/>
      <c r="AJV235" s="2076"/>
      <c r="AJW235" s="2076"/>
      <c r="AJX235" s="2076"/>
      <c r="AJY235" s="2076"/>
      <c r="AJZ235" s="2076"/>
      <c r="AKA235" s="2076"/>
      <c r="AKB235" s="2076"/>
      <c r="AKC235" s="2076"/>
      <c r="AKD235" s="2076"/>
      <c r="AKE235" s="2076"/>
      <c r="AKF235" s="2076"/>
      <c r="AKG235" s="2076"/>
      <c r="AKH235" s="2076"/>
      <c r="AKI235" s="2076"/>
      <c r="AKJ235" s="2076"/>
      <c r="AKK235" s="2076"/>
      <c r="AKL235" s="2076"/>
      <c r="AKM235" s="2076"/>
      <c r="AKN235" s="2076"/>
      <c r="AKO235" s="2076"/>
      <c r="AKP235" s="2076"/>
      <c r="AKQ235" s="2076"/>
      <c r="AKR235" s="2076"/>
      <c r="AKS235" s="2076"/>
      <c r="AKT235" s="2076"/>
      <c r="AKU235" s="2076"/>
      <c r="AKV235" s="2076"/>
      <c r="AKW235" s="2076"/>
      <c r="AKX235" s="2076"/>
      <c r="AKY235" s="2076"/>
      <c r="AKZ235" s="2076"/>
      <c r="ALA235" s="2076"/>
      <c r="ALB235" s="2076"/>
      <c r="ALC235" s="2076"/>
      <c r="ALD235" s="2076"/>
      <c r="ALE235" s="2076"/>
      <c r="ALF235" s="2076"/>
      <c r="ALG235" s="2076"/>
      <c r="ALH235" s="2076"/>
      <c r="ALI235" s="2076"/>
      <c r="ALJ235" s="2076"/>
      <c r="ALK235" s="2076"/>
      <c r="ALL235" s="2076"/>
      <c r="ALM235" s="2076"/>
      <c r="ALN235" s="2076"/>
      <c r="ALO235" s="2076"/>
      <c r="ALP235" s="2076"/>
      <c r="ALQ235" s="2076"/>
      <c r="ALR235" s="2076"/>
      <c r="ALS235" s="2076"/>
      <c r="ALT235" s="2076"/>
      <c r="ALU235" s="2076"/>
      <c r="ALV235" s="2076"/>
      <c r="ALW235" s="2076"/>
      <c r="ALX235" s="2076"/>
      <c r="ALY235" s="2076"/>
      <c r="ALZ235" s="2076"/>
      <c r="AMA235" s="2076"/>
      <c r="AMB235" s="2076"/>
      <c r="AMC235" s="2076"/>
      <c r="AMD235" s="2076"/>
      <c r="AME235" s="2076"/>
      <c r="AMF235" s="2076"/>
      <c r="AMG235" s="2076"/>
      <c r="AMH235" s="2076"/>
      <c r="AMI235" s="2076"/>
      <c r="AMJ235" s="2076"/>
      <c r="AMK235" s="2076"/>
      <c r="AML235" s="2076"/>
      <c r="AMM235" s="2076"/>
      <c r="AMN235" s="2076"/>
      <c r="AMO235" s="2076"/>
      <c r="AMP235" s="2076"/>
      <c r="AMQ235" s="2076"/>
      <c r="AMR235" s="2076"/>
      <c r="AMS235" s="2076"/>
      <c r="AMT235" s="2076"/>
      <c r="AMU235" s="2076"/>
      <c r="AMV235" s="2076"/>
      <c r="AMW235" s="2076"/>
      <c r="AMX235" s="2076"/>
      <c r="AMY235" s="2076"/>
      <c r="AMZ235" s="2076"/>
      <c r="ANA235" s="2076"/>
      <c r="ANB235" s="2076"/>
      <c r="ANC235" s="2076"/>
      <c r="AND235" s="2076"/>
      <c r="ANE235" s="2076"/>
      <c r="ANF235" s="2076"/>
      <c r="ANG235" s="2076"/>
      <c r="ANH235" s="2076"/>
      <c r="ANI235" s="2076"/>
      <c r="ANJ235" s="2076"/>
      <c r="ANK235" s="2076"/>
      <c r="ANL235" s="2076"/>
      <c r="ANM235" s="2076"/>
      <c r="ANN235" s="2076"/>
      <c r="ANO235" s="2076"/>
      <c r="ANP235" s="2076"/>
      <c r="ANQ235" s="2076"/>
      <c r="ANR235" s="2076"/>
      <c r="ANS235" s="2076"/>
      <c r="ANT235" s="2076"/>
      <c r="ANU235" s="2076"/>
      <c r="ANV235" s="2076"/>
      <c r="ANW235" s="2076"/>
      <c r="ANX235" s="2076"/>
      <c r="ANY235" s="2076"/>
      <c r="ANZ235" s="2076"/>
      <c r="AOA235" s="2076"/>
      <c r="AOB235" s="2076"/>
      <c r="AOC235" s="2076"/>
      <c r="AOD235" s="2076"/>
      <c r="AOE235" s="2076"/>
      <c r="AOF235" s="2076"/>
      <c r="AOG235" s="2076"/>
      <c r="AOH235" s="2076"/>
      <c r="AOI235" s="2076"/>
      <c r="AOJ235" s="2076"/>
      <c r="AOK235" s="2076"/>
      <c r="AOL235" s="2076"/>
      <c r="AOM235" s="2076"/>
      <c r="AON235" s="2076"/>
      <c r="AOO235" s="2076"/>
      <c r="AOP235" s="2076"/>
      <c r="AOQ235" s="2076"/>
      <c r="AOR235" s="2076"/>
      <c r="AOS235" s="2076"/>
      <c r="AOT235" s="2076"/>
      <c r="AOU235" s="2076"/>
      <c r="AOV235" s="2076"/>
      <c r="AOW235" s="2076"/>
      <c r="AOX235" s="2076"/>
      <c r="AOY235" s="2076"/>
      <c r="AOZ235" s="2076"/>
      <c r="APA235" s="2076"/>
      <c r="APB235" s="2076"/>
      <c r="APC235" s="2076"/>
      <c r="APD235" s="2076"/>
      <c r="APE235" s="2076"/>
      <c r="APF235" s="2076"/>
      <c r="APG235" s="2076"/>
      <c r="APH235" s="2076"/>
      <c r="API235" s="2076"/>
      <c r="APJ235" s="2076"/>
      <c r="APK235" s="2076"/>
      <c r="APL235" s="2076"/>
      <c r="APM235" s="2076"/>
      <c r="APN235" s="2076"/>
      <c r="APO235" s="2076"/>
      <c r="APP235" s="2076"/>
      <c r="APQ235" s="2076"/>
      <c r="APR235" s="2076"/>
      <c r="APS235" s="2076"/>
      <c r="APT235" s="2076"/>
      <c r="APU235" s="2076"/>
      <c r="APV235" s="2076"/>
      <c r="APW235" s="2076"/>
      <c r="APX235" s="2076"/>
      <c r="APY235" s="2076"/>
      <c r="APZ235" s="2076"/>
      <c r="AQA235" s="2076"/>
      <c r="AQB235" s="2076"/>
      <c r="AQC235" s="2076"/>
      <c r="AQD235" s="2076"/>
      <c r="AQE235" s="2076"/>
      <c r="AQF235" s="2076"/>
      <c r="AQG235" s="2076"/>
      <c r="AQH235" s="2076"/>
      <c r="AQI235" s="2076"/>
      <c r="AQJ235" s="2076"/>
      <c r="AQK235" s="2076"/>
      <c r="AQL235" s="2076"/>
      <c r="AQM235" s="2076"/>
      <c r="AQN235" s="2076"/>
      <c r="AQO235" s="2076"/>
      <c r="AQP235" s="2076"/>
      <c r="AQQ235" s="2076"/>
      <c r="AQR235" s="2076"/>
      <c r="AQS235" s="2076"/>
      <c r="AQT235" s="2076"/>
      <c r="AQU235" s="2076"/>
      <c r="AQV235" s="2076"/>
      <c r="AQW235" s="2076"/>
      <c r="AQX235" s="2076"/>
      <c r="AQY235" s="2076"/>
      <c r="AQZ235" s="2076"/>
      <c r="ARA235" s="2076"/>
      <c r="ARB235" s="2076"/>
      <c r="ARC235" s="2076"/>
      <c r="ARD235" s="2076"/>
      <c r="ARE235" s="2076"/>
      <c r="ARF235" s="2076"/>
      <c r="ARG235" s="2076"/>
      <c r="ARH235" s="2076"/>
      <c r="ARI235" s="2076"/>
      <c r="ARJ235" s="2076"/>
      <c r="ARK235" s="2076"/>
      <c r="ARL235" s="2076"/>
      <c r="ARM235" s="2076"/>
      <c r="ARN235" s="2076"/>
      <c r="ARO235" s="2076"/>
      <c r="ARP235" s="2076"/>
      <c r="ARQ235" s="2076"/>
      <c r="ARR235" s="2076"/>
      <c r="ARS235" s="2076"/>
      <c r="ART235" s="2076"/>
      <c r="ARU235" s="2076"/>
      <c r="ARV235" s="2076"/>
      <c r="ARW235" s="2076"/>
      <c r="ARX235" s="2076"/>
      <c r="ARY235" s="2076"/>
      <c r="ARZ235" s="2076"/>
      <c r="ASA235" s="2076"/>
      <c r="ASB235" s="2076"/>
      <c r="ASC235" s="2076"/>
      <c r="ASD235" s="2076"/>
      <c r="ASE235" s="2076"/>
      <c r="ASF235" s="2076"/>
      <c r="ASG235" s="2076"/>
      <c r="ASH235" s="2076"/>
      <c r="ASI235" s="2076"/>
      <c r="ASJ235" s="2076"/>
      <c r="ASK235" s="2076"/>
      <c r="ASL235" s="2076"/>
      <c r="ASM235" s="2076"/>
      <c r="ASN235" s="2076"/>
      <c r="ASO235" s="2076"/>
      <c r="ASP235" s="2076"/>
      <c r="ASQ235" s="2076"/>
      <c r="ASR235" s="2076"/>
      <c r="ASS235" s="2076"/>
      <c r="AST235" s="2076"/>
      <c r="ASU235" s="2076"/>
      <c r="ASV235" s="2076"/>
      <c r="ASW235" s="2076"/>
      <c r="ASX235" s="2076"/>
      <c r="ASY235" s="2076"/>
      <c r="ASZ235" s="2076"/>
      <c r="ATA235" s="2076"/>
      <c r="ATB235" s="2076"/>
      <c r="ATC235" s="2076"/>
      <c r="ATD235" s="2076"/>
      <c r="ATE235" s="2076"/>
      <c r="ATF235" s="2076"/>
      <c r="ATG235" s="2076"/>
      <c r="ATH235" s="2076"/>
      <c r="ATI235" s="2076"/>
      <c r="ATJ235" s="2076"/>
      <c r="ATK235" s="2076"/>
      <c r="ATL235" s="2076"/>
      <c r="ATM235" s="2076"/>
      <c r="ATN235" s="2076"/>
      <c r="ATO235" s="2076"/>
      <c r="ATP235" s="2076"/>
      <c r="ATQ235" s="2076"/>
      <c r="ATR235" s="2076"/>
      <c r="ATS235" s="2076"/>
      <c r="ATT235" s="2076"/>
      <c r="ATU235" s="2076"/>
      <c r="ATV235" s="2076"/>
      <c r="ATW235" s="2076"/>
      <c r="ATX235" s="2076"/>
      <c r="ATY235" s="2076"/>
      <c r="ATZ235" s="2076"/>
      <c r="AUA235" s="2076"/>
      <c r="AUB235" s="2076"/>
      <c r="AUC235" s="2076"/>
      <c r="AUD235" s="2076"/>
      <c r="AUE235" s="2076"/>
      <c r="AUF235" s="2076"/>
      <c r="AUG235" s="2076"/>
      <c r="AUH235" s="2076"/>
      <c r="AUI235" s="2076"/>
      <c r="AUJ235" s="2076"/>
      <c r="AUK235" s="2076"/>
      <c r="AUL235" s="2076"/>
      <c r="AUM235" s="2076"/>
      <c r="AUN235" s="2076"/>
      <c r="AUO235" s="2076"/>
      <c r="AUP235" s="2076"/>
      <c r="AUQ235" s="2076"/>
      <c r="AUR235" s="2076"/>
      <c r="AUS235" s="2076"/>
      <c r="AUT235" s="2076"/>
      <c r="AUU235" s="2076"/>
      <c r="AUV235" s="2076"/>
      <c r="AUW235" s="2076"/>
      <c r="AUX235" s="2076"/>
      <c r="AUY235" s="2076"/>
      <c r="AUZ235" s="2076"/>
      <c r="AVA235" s="2076"/>
      <c r="AVB235" s="2076"/>
      <c r="AVC235" s="2076"/>
      <c r="AVD235" s="2076"/>
      <c r="AVE235" s="2076"/>
      <c r="AVF235" s="2076"/>
      <c r="AVG235" s="2076"/>
      <c r="AVH235" s="2076"/>
      <c r="AVI235" s="2076"/>
      <c r="AVJ235" s="2076"/>
      <c r="AVK235" s="2076"/>
      <c r="AVL235" s="2076"/>
      <c r="AVM235" s="2076"/>
      <c r="AVN235" s="2076"/>
      <c r="AVO235" s="2076"/>
      <c r="AVP235" s="2076"/>
      <c r="AVQ235" s="2076"/>
      <c r="AVR235" s="2076"/>
      <c r="AVS235" s="2076"/>
      <c r="AVT235" s="2076"/>
      <c r="AVU235" s="2076"/>
      <c r="AVV235" s="2076"/>
      <c r="AVW235" s="2076"/>
      <c r="AVX235" s="2076"/>
      <c r="AVY235" s="2076"/>
      <c r="AVZ235" s="2076"/>
      <c r="AWA235" s="2076"/>
      <c r="AWB235" s="2076"/>
      <c r="AWC235" s="2076"/>
      <c r="AWD235" s="2076"/>
      <c r="AWE235" s="2076"/>
      <c r="AWF235" s="2076"/>
      <c r="AWG235" s="2076"/>
      <c r="AWH235" s="2076"/>
      <c r="AWI235" s="2076"/>
      <c r="AWJ235" s="2076"/>
      <c r="AWK235" s="2076"/>
      <c r="AWL235" s="2076"/>
      <c r="AWM235" s="2076"/>
      <c r="AWN235" s="2076"/>
      <c r="AWO235" s="2076"/>
      <c r="AWP235" s="2076"/>
      <c r="AWQ235" s="2076"/>
      <c r="AWR235" s="2076"/>
      <c r="AWS235" s="2076"/>
      <c r="AWT235" s="2076"/>
      <c r="AWU235" s="2076"/>
      <c r="AWV235" s="2076"/>
      <c r="AWW235" s="2076"/>
      <c r="AWX235" s="2076"/>
      <c r="AWY235" s="2076"/>
      <c r="AWZ235" s="2076"/>
      <c r="AXA235" s="2076"/>
      <c r="AXB235" s="2076"/>
      <c r="AXC235" s="2076"/>
      <c r="AXD235" s="2076"/>
      <c r="AXE235" s="2076"/>
      <c r="AXF235" s="2076"/>
      <c r="AXG235" s="2076"/>
      <c r="AXH235" s="2076"/>
      <c r="AXI235" s="2076"/>
      <c r="AXJ235" s="2076"/>
    </row>
    <row r="236" spans="1:1310" s="2077" customFormat="1" ht="23.25" customHeight="1">
      <c r="A236" s="2092"/>
      <c r="B236" s="2089"/>
      <c r="C236" s="2090"/>
      <c r="D236" s="2090"/>
      <c r="E236" s="2090"/>
      <c r="F236" s="2091"/>
      <c r="G236" s="2090"/>
      <c r="H236" s="2090"/>
      <c r="I236" s="2090"/>
      <c r="J236" s="2088"/>
      <c r="K236" s="2090"/>
      <c r="L236" s="2090"/>
      <c r="M236" s="2090"/>
      <c r="N236" s="2090"/>
      <c r="O236" s="2090"/>
      <c r="P236" s="2090"/>
      <c r="Q236" s="2090"/>
      <c r="R236" s="755"/>
      <c r="S236" s="755"/>
      <c r="T236" s="755"/>
      <c r="U236" s="755"/>
      <c r="V236" s="755"/>
      <c r="W236" s="755"/>
      <c r="X236" s="755"/>
      <c r="Y236" s="755"/>
      <c r="Z236" s="755"/>
      <c r="AA236" s="755"/>
      <c r="AB236" s="755"/>
      <c r="AC236" s="755"/>
      <c r="AD236" s="2075"/>
      <c r="AE236" s="2075"/>
      <c r="AF236" s="2075"/>
      <c r="AG236" s="2075"/>
      <c r="AH236" s="2075"/>
      <c r="AI236" s="2075"/>
      <c r="AJ236" s="2075"/>
      <c r="AK236" s="2075"/>
      <c r="AL236" s="2075"/>
      <c r="AM236" s="2075"/>
      <c r="AN236" s="2075"/>
      <c r="AO236" s="2075"/>
      <c r="AP236" s="2075"/>
      <c r="AQ236" s="2075"/>
      <c r="AR236" s="2075"/>
      <c r="AS236" s="2075"/>
      <c r="AT236" s="2075"/>
      <c r="AU236" s="2075"/>
      <c r="AV236" s="2076"/>
      <c r="AW236" s="2076"/>
      <c r="AX236" s="2076"/>
      <c r="AY236" s="2076"/>
      <c r="AZ236" s="2076"/>
      <c r="BA236" s="2076"/>
      <c r="BB236" s="2076"/>
      <c r="BC236" s="2076"/>
      <c r="BD236" s="2076"/>
      <c r="BE236" s="2076"/>
      <c r="BF236" s="2076"/>
      <c r="BG236" s="2076"/>
      <c r="BH236" s="2076"/>
      <c r="BI236" s="2076"/>
      <c r="BJ236" s="2076"/>
      <c r="BK236" s="2076"/>
      <c r="BL236" s="2076"/>
      <c r="BM236" s="2076"/>
      <c r="BN236" s="2076"/>
      <c r="BO236" s="2076"/>
      <c r="BP236" s="2076"/>
      <c r="BQ236" s="2076"/>
      <c r="BR236" s="2076"/>
      <c r="BS236" s="2076"/>
      <c r="BT236" s="2076"/>
      <c r="BU236" s="2076"/>
      <c r="BV236" s="2076"/>
      <c r="BW236" s="2076"/>
      <c r="BX236" s="2076"/>
      <c r="BY236" s="2076"/>
      <c r="BZ236" s="2076"/>
      <c r="CA236" s="2076"/>
      <c r="CB236" s="2076"/>
      <c r="CC236" s="2076"/>
      <c r="CD236" s="2076"/>
      <c r="CE236" s="2076"/>
      <c r="CF236" s="2076"/>
      <c r="CG236" s="2076"/>
      <c r="CH236" s="2076"/>
      <c r="CI236" s="2076"/>
      <c r="CJ236" s="2076"/>
      <c r="CK236" s="2076"/>
      <c r="CL236" s="2076"/>
      <c r="CM236" s="2076"/>
      <c r="CN236" s="2076"/>
      <c r="CO236" s="2076"/>
      <c r="CP236" s="2076"/>
      <c r="CQ236" s="2076"/>
      <c r="CR236" s="2076"/>
      <c r="CS236" s="2076"/>
      <c r="CT236" s="2076"/>
      <c r="CU236" s="2076"/>
      <c r="CV236" s="2076"/>
      <c r="CW236" s="2076"/>
      <c r="CX236" s="2076"/>
      <c r="CY236" s="2076"/>
      <c r="CZ236" s="2076"/>
      <c r="DA236" s="2076"/>
      <c r="DB236" s="2076"/>
      <c r="DC236" s="2076"/>
      <c r="DD236" s="2076"/>
      <c r="DE236" s="2076"/>
      <c r="DF236" s="2076"/>
      <c r="DG236" s="2076"/>
      <c r="DH236" s="2076"/>
      <c r="DI236" s="2076"/>
      <c r="DJ236" s="2076"/>
      <c r="DK236" s="2076"/>
      <c r="DL236" s="2076"/>
      <c r="DM236" s="2076"/>
      <c r="DN236" s="2076"/>
      <c r="DO236" s="2076"/>
      <c r="DP236" s="2076"/>
      <c r="DQ236" s="2076"/>
      <c r="DR236" s="2076"/>
      <c r="DS236" s="2076"/>
      <c r="DT236" s="2076"/>
      <c r="DU236" s="2076"/>
      <c r="DV236" s="2076"/>
      <c r="DW236" s="2076"/>
      <c r="DX236" s="2076"/>
      <c r="DY236" s="2076"/>
      <c r="DZ236" s="2076"/>
      <c r="EA236" s="2076"/>
      <c r="EB236" s="2076"/>
      <c r="EC236" s="2076"/>
      <c r="ED236" s="2076"/>
      <c r="EE236" s="2076"/>
      <c r="EF236" s="2076"/>
      <c r="EG236" s="2076"/>
      <c r="EH236" s="2076"/>
      <c r="EI236" s="2076"/>
      <c r="EJ236" s="2076"/>
      <c r="EK236" s="2076"/>
      <c r="EL236" s="2076"/>
      <c r="EM236" s="2076"/>
      <c r="EN236" s="2076"/>
      <c r="EO236" s="2076"/>
      <c r="EP236" s="2076"/>
      <c r="EQ236" s="2076"/>
      <c r="ER236" s="2076"/>
      <c r="ES236" s="2076"/>
      <c r="ET236" s="2076"/>
      <c r="EU236" s="2076"/>
      <c r="EV236" s="2076"/>
      <c r="EW236" s="2076"/>
      <c r="EX236" s="2076"/>
      <c r="EY236" s="2076"/>
      <c r="EZ236" s="2076"/>
      <c r="FA236" s="2076"/>
      <c r="FB236" s="2076"/>
      <c r="FC236" s="2076"/>
      <c r="FD236" s="2076"/>
      <c r="FE236" s="2076"/>
      <c r="FF236" s="2076"/>
      <c r="FG236" s="2076"/>
      <c r="FH236" s="2076"/>
      <c r="FI236" s="2076"/>
      <c r="FJ236" s="2076"/>
      <c r="FK236" s="2076"/>
      <c r="FL236" s="2076"/>
      <c r="FM236" s="2076"/>
      <c r="FN236" s="2076"/>
      <c r="FO236" s="2076"/>
      <c r="FP236" s="2076"/>
      <c r="FQ236" s="2076"/>
      <c r="FR236" s="2076"/>
      <c r="FS236" s="2076"/>
      <c r="FT236" s="2076"/>
      <c r="FU236" s="2076"/>
      <c r="FV236" s="2076"/>
      <c r="FW236" s="2076"/>
      <c r="FX236" s="2076"/>
      <c r="FY236" s="2076"/>
      <c r="FZ236" s="2076"/>
      <c r="GA236" s="2076"/>
      <c r="GB236" s="2076"/>
      <c r="GC236" s="2076"/>
      <c r="GD236" s="2076"/>
      <c r="GE236" s="2076"/>
      <c r="GF236" s="2076"/>
      <c r="GG236" s="2076"/>
      <c r="GH236" s="2076"/>
      <c r="GI236" s="2076"/>
      <c r="GJ236" s="2076"/>
      <c r="GK236" s="2076"/>
      <c r="GL236" s="2076"/>
      <c r="GM236" s="2076"/>
      <c r="GN236" s="2076"/>
      <c r="GO236" s="2076"/>
      <c r="GP236" s="2076"/>
      <c r="GQ236" s="2076"/>
      <c r="GR236" s="2076"/>
      <c r="GS236" s="2076"/>
      <c r="GT236" s="2076"/>
      <c r="GU236" s="2076"/>
      <c r="GV236" s="2076"/>
      <c r="GW236" s="2076"/>
      <c r="GX236" s="2076"/>
      <c r="GY236" s="2076"/>
      <c r="GZ236" s="2076"/>
      <c r="HA236" s="2076"/>
      <c r="HB236" s="2076"/>
      <c r="HC236" s="2076"/>
      <c r="HD236" s="2076"/>
      <c r="HE236" s="2076"/>
      <c r="HF236" s="2076"/>
      <c r="HG236" s="2076"/>
      <c r="HH236" s="2076"/>
      <c r="HI236" s="2076"/>
      <c r="HJ236" s="2076"/>
      <c r="HK236" s="2076"/>
      <c r="HL236" s="2076"/>
      <c r="HM236" s="2076"/>
      <c r="HN236" s="2076"/>
      <c r="HO236" s="2076"/>
      <c r="HP236" s="2076"/>
      <c r="HQ236" s="2076"/>
      <c r="HR236" s="2076"/>
      <c r="HS236" s="2076"/>
      <c r="HT236" s="2076"/>
      <c r="HU236" s="2076"/>
      <c r="HV236" s="2076"/>
      <c r="HW236" s="2076"/>
      <c r="HX236" s="2076"/>
      <c r="HY236" s="2076"/>
      <c r="HZ236" s="2076"/>
      <c r="IA236" s="2076"/>
      <c r="IB236" s="2076"/>
      <c r="IC236" s="2076"/>
      <c r="ID236" s="2076"/>
      <c r="IE236" s="2076"/>
      <c r="IF236" s="2076"/>
      <c r="IG236" s="2076"/>
      <c r="IH236" s="2076"/>
      <c r="II236" s="2076"/>
      <c r="IJ236" s="2076"/>
      <c r="IK236" s="2076"/>
      <c r="IL236" s="2076"/>
      <c r="IM236" s="2076"/>
      <c r="IN236" s="2076"/>
      <c r="IO236" s="2076"/>
      <c r="IP236" s="2076"/>
      <c r="IQ236" s="2076"/>
      <c r="IR236" s="2076"/>
      <c r="IS236" s="2076"/>
      <c r="IT236" s="2076"/>
      <c r="IU236" s="2076"/>
      <c r="IV236" s="2076"/>
      <c r="IW236" s="2076"/>
      <c r="IX236" s="2076"/>
      <c r="IY236" s="2076"/>
      <c r="IZ236" s="2076"/>
      <c r="JA236" s="2076"/>
      <c r="JB236" s="2076"/>
      <c r="JC236" s="2076"/>
      <c r="JD236" s="2076"/>
      <c r="JE236" s="2076"/>
      <c r="JF236" s="2076"/>
      <c r="JG236" s="2076"/>
      <c r="JH236" s="2076"/>
      <c r="JI236" s="2076"/>
      <c r="JJ236" s="2076"/>
      <c r="JK236" s="2076"/>
      <c r="JL236" s="2076"/>
      <c r="JM236" s="2076"/>
      <c r="JN236" s="2076"/>
      <c r="JO236" s="2076"/>
      <c r="JP236" s="2076"/>
      <c r="JQ236" s="2076"/>
      <c r="JR236" s="2076"/>
      <c r="JS236" s="2076"/>
      <c r="JT236" s="2076"/>
      <c r="JU236" s="2076"/>
      <c r="JV236" s="2076"/>
      <c r="JW236" s="2076"/>
      <c r="JX236" s="2076"/>
      <c r="JY236" s="2076"/>
      <c r="JZ236" s="2076"/>
      <c r="KA236" s="2076"/>
      <c r="KB236" s="2076"/>
      <c r="KC236" s="2076"/>
      <c r="KD236" s="2076"/>
      <c r="KE236" s="2076"/>
      <c r="KF236" s="2076"/>
      <c r="KG236" s="2076"/>
      <c r="KH236" s="2076"/>
      <c r="KI236" s="2076"/>
      <c r="KJ236" s="2076"/>
      <c r="KK236" s="2076"/>
      <c r="KL236" s="2076"/>
      <c r="KM236" s="2076"/>
      <c r="KN236" s="2076"/>
      <c r="KO236" s="2076"/>
      <c r="KP236" s="2076"/>
      <c r="KQ236" s="2076"/>
      <c r="KR236" s="2076"/>
      <c r="KS236" s="2076"/>
      <c r="KT236" s="2076"/>
      <c r="KU236" s="2076"/>
      <c r="KV236" s="2076"/>
      <c r="KW236" s="2076"/>
      <c r="KX236" s="2076"/>
      <c r="KY236" s="2076"/>
      <c r="KZ236" s="2076"/>
      <c r="LA236" s="2076"/>
      <c r="LB236" s="2076"/>
      <c r="LC236" s="2076"/>
      <c r="LD236" s="2076"/>
      <c r="LE236" s="2076"/>
      <c r="LF236" s="2076"/>
      <c r="LG236" s="2076"/>
      <c r="LH236" s="2076"/>
      <c r="LI236" s="2076"/>
      <c r="LJ236" s="2076"/>
      <c r="LK236" s="2076"/>
      <c r="LL236" s="2076"/>
      <c r="LM236" s="2076"/>
      <c r="LN236" s="2076"/>
      <c r="LO236" s="2076"/>
      <c r="LP236" s="2076"/>
      <c r="LQ236" s="2076"/>
      <c r="LR236" s="2076"/>
      <c r="LS236" s="2076"/>
      <c r="LT236" s="2076"/>
      <c r="LU236" s="2076"/>
      <c r="LV236" s="2076"/>
      <c r="LW236" s="2076"/>
      <c r="LX236" s="2076"/>
      <c r="LY236" s="2076"/>
      <c r="LZ236" s="2076"/>
      <c r="MA236" s="2076"/>
      <c r="MB236" s="2076"/>
      <c r="MC236" s="2076"/>
      <c r="MD236" s="2076"/>
      <c r="ME236" s="2076"/>
      <c r="MF236" s="2076"/>
      <c r="MG236" s="2076"/>
      <c r="MH236" s="2076"/>
      <c r="MI236" s="2076"/>
      <c r="MJ236" s="2076"/>
      <c r="MK236" s="2076"/>
      <c r="ML236" s="2076"/>
      <c r="MM236" s="2076"/>
      <c r="MN236" s="2076"/>
      <c r="MO236" s="2076"/>
      <c r="MP236" s="2076"/>
      <c r="MQ236" s="2076"/>
      <c r="MR236" s="2076"/>
      <c r="MS236" s="2076"/>
      <c r="MT236" s="2076"/>
      <c r="MU236" s="2076"/>
      <c r="MV236" s="2076"/>
      <c r="MW236" s="2076"/>
      <c r="MX236" s="2076"/>
      <c r="MY236" s="2076"/>
      <c r="MZ236" s="2076"/>
      <c r="NA236" s="2076"/>
      <c r="NB236" s="2076"/>
      <c r="NC236" s="2076"/>
      <c r="ND236" s="2076"/>
      <c r="NE236" s="2076"/>
      <c r="NF236" s="2076"/>
      <c r="NG236" s="2076"/>
      <c r="NH236" s="2076"/>
      <c r="NI236" s="2076"/>
      <c r="NJ236" s="2076"/>
      <c r="NK236" s="2076"/>
      <c r="NL236" s="2076"/>
      <c r="NM236" s="2076"/>
      <c r="NN236" s="2076"/>
      <c r="NO236" s="2076"/>
      <c r="NP236" s="2076"/>
      <c r="NQ236" s="2076"/>
      <c r="NR236" s="2076"/>
      <c r="NS236" s="2076"/>
      <c r="NT236" s="2076"/>
      <c r="NU236" s="2076"/>
      <c r="NV236" s="2076"/>
      <c r="NW236" s="2076"/>
      <c r="NX236" s="2076"/>
      <c r="NY236" s="2076"/>
      <c r="NZ236" s="2076"/>
      <c r="OA236" s="2076"/>
      <c r="OB236" s="2076"/>
      <c r="OC236" s="2076"/>
      <c r="OD236" s="2076"/>
      <c r="OE236" s="2076"/>
      <c r="OF236" s="2076"/>
      <c r="OG236" s="2076"/>
      <c r="OH236" s="2076"/>
      <c r="OI236" s="2076"/>
      <c r="OJ236" s="2076"/>
      <c r="OK236" s="2076"/>
      <c r="OL236" s="2076"/>
      <c r="OM236" s="2076"/>
      <c r="ON236" s="2076"/>
      <c r="OO236" s="2076"/>
      <c r="OP236" s="2076"/>
      <c r="OQ236" s="2076"/>
      <c r="OR236" s="2076"/>
      <c r="OS236" s="2076"/>
      <c r="OT236" s="2076"/>
      <c r="OU236" s="2076"/>
      <c r="OV236" s="2076"/>
      <c r="OW236" s="2076"/>
      <c r="OX236" s="2076"/>
      <c r="OY236" s="2076"/>
      <c r="OZ236" s="2076"/>
      <c r="PA236" s="2076"/>
      <c r="PB236" s="2076"/>
      <c r="PC236" s="2076"/>
      <c r="PD236" s="2076"/>
      <c r="PE236" s="2076"/>
      <c r="PF236" s="2076"/>
      <c r="PG236" s="2076"/>
      <c r="PH236" s="2076"/>
      <c r="PI236" s="2076"/>
      <c r="PJ236" s="2076"/>
      <c r="PK236" s="2076"/>
      <c r="PL236" s="2076"/>
      <c r="PM236" s="2076"/>
      <c r="PN236" s="2076"/>
      <c r="PO236" s="2076"/>
      <c r="PP236" s="2076"/>
      <c r="PQ236" s="2076"/>
      <c r="PR236" s="2076"/>
      <c r="PS236" s="2076"/>
      <c r="PT236" s="2076"/>
      <c r="PU236" s="2076"/>
      <c r="PV236" s="2076"/>
      <c r="PW236" s="2076"/>
      <c r="PX236" s="2076"/>
      <c r="PY236" s="2076"/>
      <c r="PZ236" s="2076"/>
      <c r="QA236" s="2076"/>
      <c r="QB236" s="2076"/>
      <c r="QC236" s="2076"/>
      <c r="QD236" s="2076"/>
      <c r="QE236" s="2076"/>
      <c r="QF236" s="2076"/>
      <c r="QG236" s="2076"/>
      <c r="QH236" s="2076"/>
      <c r="QI236" s="2076"/>
      <c r="QJ236" s="2076"/>
      <c r="QK236" s="2076"/>
      <c r="QL236" s="2076"/>
      <c r="QM236" s="2076"/>
      <c r="QN236" s="2076"/>
      <c r="QO236" s="2076"/>
      <c r="QP236" s="2076"/>
      <c r="QQ236" s="2076"/>
      <c r="QR236" s="2076"/>
      <c r="QS236" s="2076"/>
      <c r="QT236" s="2076"/>
      <c r="QU236" s="2076"/>
      <c r="QV236" s="2076"/>
      <c r="QW236" s="2076"/>
      <c r="QX236" s="2076"/>
      <c r="QY236" s="2076"/>
      <c r="QZ236" s="2076"/>
      <c r="RA236" s="2076"/>
      <c r="RB236" s="2076"/>
      <c r="RC236" s="2076"/>
      <c r="RD236" s="2076"/>
      <c r="RE236" s="2076"/>
      <c r="RF236" s="2076"/>
      <c r="RG236" s="2076"/>
      <c r="RH236" s="2076"/>
      <c r="RI236" s="2076"/>
      <c r="RJ236" s="2076"/>
      <c r="RK236" s="2076"/>
      <c r="RL236" s="2076"/>
      <c r="RM236" s="2076"/>
      <c r="RN236" s="2076"/>
      <c r="RO236" s="2076"/>
      <c r="RP236" s="2076"/>
      <c r="RQ236" s="2076"/>
      <c r="RR236" s="2076"/>
      <c r="RS236" s="2076"/>
      <c r="RT236" s="2076"/>
      <c r="RU236" s="2076"/>
      <c r="RV236" s="2076"/>
      <c r="RW236" s="2076"/>
      <c r="RX236" s="2076"/>
      <c r="RY236" s="2076"/>
      <c r="RZ236" s="2076"/>
      <c r="SA236" s="2076"/>
      <c r="SB236" s="2076"/>
      <c r="SC236" s="2076"/>
      <c r="SD236" s="2076"/>
      <c r="SE236" s="2076"/>
      <c r="SF236" s="2076"/>
      <c r="SG236" s="2076"/>
      <c r="SH236" s="2076"/>
      <c r="SI236" s="2076"/>
      <c r="SJ236" s="2076"/>
      <c r="SK236" s="2076"/>
      <c r="SL236" s="2076"/>
      <c r="SM236" s="2076"/>
      <c r="SN236" s="2076"/>
      <c r="SO236" s="2076"/>
      <c r="SP236" s="2076"/>
      <c r="SQ236" s="2076"/>
      <c r="SR236" s="2076"/>
      <c r="SS236" s="2076"/>
      <c r="ST236" s="2076"/>
      <c r="SU236" s="2076"/>
      <c r="SV236" s="2076"/>
      <c r="SW236" s="2076"/>
      <c r="SX236" s="2076"/>
      <c r="SY236" s="2076"/>
      <c r="SZ236" s="2076"/>
      <c r="TA236" s="2076"/>
      <c r="TB236" s="2076"/>
      <c r="TC236" s="2076"/>
      <c r="TD236" s="2076"/>
      <c r="TE236" s="2076"/>
      <c r="TF236" s="2076"/>
      <c r="TG236" s="2076"/>
      <c r="TH236" s="2076"/>
      <c r="TI236" s="2076"/>
      <c r="TJ236" s="2076"/>
      <c r="TK236" s="2076"/>
      <c r="TL236" s="2076"/>
      <c r="TM236" s="2076"/>
      <c r="TN236" s="2076"/>
      <c r="TO236" s="2076"/>
      <c r="TP236" s="2076"/>
      <c r="TQ236" s="2076"/>
      <c r="TR236" s="2076"/>
      <c r="TS236" s="2076"/>
      <c r="TT236" s="2076"/>
      <c r="TU236" s="2076"/>
      <c r="TV236" s="2076"/>
      <c r="TW236" s="2076"/>
      <c r="TX236" s="2076"/>
      <c r="TY236" s="2076"/>
      <c r="TZ236" s="2076"/>
      <c r="UA236" s="2076"/>
      <c r="UB236" s="2076"/>
      <c r="UC236" s="2076"/>
      <c r="UD236" s="2076"/>
      <c r="UE236" s="2076"/>
      <c r="UF236" s="2076"/>
      <c r="UG236" s="2076"/>
      <c r="UH236" s="2076"/>
      <c r="UI236" s="2076"/>
      <c r="UJ236" s="2076"/>
      <c r="UK236" s="2076"/>
      <c r="UL236" s="2076"/>
      <c r="UM236" s="2076"/>
      <c r="UN236" s="2076"/>
      <c r="UO236" s="2076"/>
      <c r="UP236" s="2076"/>
      <c r="UQ236" s="2076"/>
      <c r="UR236" s="2076"/>
      <c r="US236" s="2076"/>
      <c r="UT236" s="2076"/>
      <c r="UU236" s="2076"/>
      <c r="UV236" s="2076"/>
      <c r="UW236" s="2076"/>
      <c r="UX236" s="2076"/>
      <c r="UY236" s="2076"/>
      <c r="UZ236" s="2076"/>
      <c r="VA236" s="2076"/>
      <c r="VB236" s="2076"/>
      <c r="VC236" s="2076"/>
      <c r="VD236" s="2076"/>
      <c r="VE236" s="2076"/>
      <c r="VF236" s="2076"/>
      <c r="VG236" s="2076"/>
      <c r="VH236" s="2076"/>
      <c r="VI236" s="2076"/>
      <c r="VJ236" s="2076"/>
      <c r="VK236" s="2076"/>
      <c r="VL236" s="2076"/>
      <c r="VM236" s="2076"/>
      <c r="VN236" s="2076"/>
      <c r="VO236" s="2076"/>
      <c r="VP236" s="2076"/>
      <c r="VQ236" s="2076"/>
      <c r="VR236" s="2076"/>
      <c r="VS236" s="2076"/>
      <c r="VT236" s="2076"/>
      <c r="VU236" s="2076"/>
      <c r="VV236" s="2076"/>
      <c r="VW236" s="2076"/>
      <c r="VX236" s="2076"/>
      <c r="VY236" s="2076"/>
      <c r="VZ236" s="2076"/>
      <c r="WA236" s="2076"/>
      <c r="WB236" s="2076"/>
      <c r="WC236" s="2076"/>
      <c r="WD236" s="2076"/>
      <c r="WE236" s="2076"/>
      <c r="WF236" s="2076"/>
      <c r="WG236" s="2076"/>
      <c r="WH236" s="2076"/>
      <c r="WI236" s="2076"/>
      <c r="WJ236" s="2076"/>
      <c r="WK236" s="2076"/>
      <c r="WL236" s="2076"/>
      <c r="WM236" s="2076"/>
      <c r="WN236" s="2076"/>
      <c r="WO236" s="2076"/>
      <c r="WP236" s="2076"/>
      <c r="WQ236" s="2076"/>
      <c r="WR236" s="2076"/>
      <c r="WS236" s="2076"/>
      <c r="WT236" s="2076"/>
      <c r="WU236" s="2076"/>
      <c r="WV236" s="2076"/>
      <c r="WW236" s="2076"/>
      <c r="WX236" s="2076"/>
      <c r="WY236" s="2076"/>
      <c r="WZ236" s="2076"/>
      <c r="XA236" s="2076"/>
      <c r="XB236" s="2076"/>
      <c r="XC236" s="2076"/>
      <c r="XD236" s="2076"/>
      <c r="XE236" s="2076"/>
      <c r="XF236" s="2076"/>
      <c r="XG236" s="2076"/>
      <c r="XH236" s="2076"/>
      <c r="XI236" s="2076"/>
      <c r="XJ236" s="2076"/>
      <c r="XK236" s="2076"/>
      <c r="XL236" s="2076"/>
      <c r="XM236" s="2076"/>
      <c r="XN236" s="2076"/>
      <c r="XO236" s="2076"/>
      <c r="XP236" s="2076"/>
      <c r="XQ236" s="2076"/>
      <c r="XR236" s="2076"/>
      <c r="XS236" s="2076"/>
      <c r="XT236" s="2076"/>
      <c r="XU236" s="2076"/>
      <c r="XV236" s="2076"/>
      <c r="XW236" s="2076"/>
      <c r="XX236" s="2076"/>
      <c r="XY236" s="2076"/>
      <c r="XZ236" s="2076"/>
      <c r="YA236" s="2076"/>
      <c r="YB236" s="2076"/>
      <c r="YC236" s="2076"/>
      <c r="YD236" s="2076"/>
      <c r="YE236" s="2076"/>
      <c r="YF236" s="2076"/>
      <c r="YG236" s="2076"/>
      <c r="YH236" s="2076"/>
      <c r="YI236" s="2076"/>
      <c r="YJ236" s="2076"/>
      <c r="YK236" s="2076"/>
      <c r="YL236" s="2076"/>
      <c r="YM236" s="2076"/>
      <c r="YN236" s="2076"/>
      <c r="YO236" s="2076"/>
      <c r="YP236" s="2076"/>
      <c r="YQ236" s="2076"/>
      <c r="YR236" s="2076"/>
      <c r="YS236" s="2076"/>
      <c r="YT236" s="2076"/>
      <c r="YU236" s="2076"/>
      <c r="YV236" s="2076"/>
      <c r="YW236" s="2076"/>
      <c r="YX236" s="2076"/>
      <c r="YY236" s="2076"/>
      <c r="YZ236" s="2076"/>
      <c r="ZA236" s="2076"/>
      <c r="ZB236" s="2076"/>
      <c r="ZC236" s="2076"/>
      <c r="ZD236" s="2076"/>
      <c r="ZE236" s="2076"/>
      <c r="ZF236" s="2076"/>
      <c r="ZG236" s="2076"/>
      <c r="ZH236" s="2076"/>
      <c r="ZI236" s="2076"/>
      <c r="ZJ236" s="2076"/>
      <c r="ZK236" s="2076"/>
      <c r="ZL236" s="2076"/>
      <c r="ZM236" s="2076"/>
      <c r="ZN236" s="2076"/>
      <c r="ZO236" s="2076"/>
      <c r="ZP236" s="2076"/>
      <c r="ZQ236" s="2076"/>
      <c r="ZR236" s="2076"/>
      <c r="ZS236" s="2076"/>
      <c r="ZT236" s="2076"/>
      <c r="ZU236" s="2076"/>
      <c r="ZV236" s="2076"/>
      <c r="ZW236" s="2076"/>
      <c r="ZX236" s="2076"/>
      <c r="ZY236" s="2076"/>
      <c r="ZZ236" s="2076"/>
      <c r="AAA236" s="2076"/>
      <c r="AAB236" s="2076"/>
      <c r="AAC236" s="2076"/>
      <c r="AAD236" s="2076"/>
      <c r="AAE236" s="2076"/>
      <c r="AAF236" s="2076"/>
      <c r="AAG236" s="2076"/>
      <c r="AAH236" s="2076"/>
      <c r="AAI236" s="2076"/>
      <c r="AAJ236" s="2076"/>
      <c r="AAK236" s="2076"/>
      <c r="AAL236" s="2076"/>
      <c r="AAM236" s="2076"/>
      <c r="AAN236" s="2076"/>
      <c r="AAO236" s="2076"/>
      <c r="AAP236" s="2076"/>
      <c r="AAQ236" s="2076"/>
      <c r="AAR236" s="2076"/>
      <c r="AAS236" s="2076"/>
      <c r="AAT236" s="2076"/>
      <c r="AAU236" s="2076"/>
      <c r="AAV236" s="2076"/>
      <c r="AAW236" s="2076"/>
      <c r="AAX236" s="2076"/>
      <c r="AAY236" s="2076"/>
      <c r="AAZ236" s="2076"/>
      <c r="ABA236" s="2076"/>
      <c r="ABB236" s="2076"/>
      <c r="ABC236" s="2076"/>
      <c r="ABD236" s="2076"/>
      <c r="ABE236" s="2076"/>
      <c r="ABF236" s="2076"/>
      <c r="ABG236" s="2076"/>
      <c r="ABH236" s="2076"/>
      <c r="ABI236" s="2076"/>
      <c r="ABJ236" s="2076"/>
      <c r="ABK236" s="2076"/>
      <c r="ABL236" s="2076"/>
      <c r="ABM236" s="2076"/>
      <c r="ABN236" s="2076"/>
      <c r="ABO236" s="2076"/>
      <c r="ABP236" s="2076"/>
      <c r="ABQ236" s="2076"/>
      <c r="ABR236" s="2076"/>
      <c r="ABS236" s="2076"/>
      <c r="ABT236" s="2076"/>
      <c r="ABU236" s="2076"/>
      <c r="ABV236" s="2076"/>
      <c r="ABW236" s="2076"/>
      <c r="ABX236" s="2076"/>
      <c r="ABY236" s="2076"/>
      <c r="ABZ236" s="2076"/>
      <c r="ACA236" s="2076"/>
      <c r="ACB236" s="2076"/>
      <c r="ACC236" s="2076"/>
      <c r="ACD236" s="2076"/>
      <c r="ACE236" s="2076"/>
      <c r="ACF236" s="2076"/>
      <c r="ACG236" s="2076"/>
      <c r="ACH236" s="2076"/>
      <c r="ACI236" s="2076"/>
      <c r="ACJ236" s="2076"/>
      <c r="ACK236" s="2076"/>
      <c r="ACL236" s="2076"/>
      <c r="ACM236" s="2076"/>
      <c r="ACN236" s="2076"/>
      <c r="ACO236" s="2076"/>
      <c r="ACP236" s="2076"/>
      <c r="ACQ236" s="2076"/>
      <c r="ACR236" s="2076"/>
      <c r="ACS236" s="2076"/>
      <c r="ACT236" s="2076"/>
      <c r="ACU236" s="2076"/>
      <c r="ACV236" s="2076"/>
      <c r="ACW236" s="2076"/>
      <c r="ACX236" s="2076"/>
      <c r="ACY236" s="2076"/>
      <c r="ACZ236" s="2076"/>
      <c r="ADA236" s="2076"/>
      <c r="ADB236" s="2076"/>
      <c r="ADC236" s="2076"/>
      <c r="ADD236" s="2076"/>
      <c r="ADE236" s="2076"/>
      <c r="ADF236" s="2076"/>
      <c r="ADG236" s="2076"/>
      <c r="ADH236" s="2076"/>
      <c r="ADI236" s="2076"/>
      <c r="ADJ236" s="2076"/>
      <c r="ADK236" s="2076"/>
      <c r="ADL236" s="2076"/>
      <c r="ADM236" s="2076"/>
      <c r="ADN236" s="2076"/>
      <c r="ADO236" s="2076"/>
      <c r="ADP236" s="2076"/>
      <c r="ADQ236" s="2076"/>
      <c r="ADR236" s="2076"/>
      <c r="ADS236" s="2076"/>
      <c r="ADT236" s="2076"/>
      <c r="ADU236" s="2076"/>
      <c r="ADV236" s="2076"/>
      <c r="ADW236" s="2076"/>
      <c r="ADX236" s="2076"/>
      <c r="ADY236" s="2076"/>
      <c r="ADZ236" s="2076"/>
      <c r="AEA236" s="2076"/>
      <c r="AEB236" s="2076"/>
      <c r="AEC236" s="2076"/>
      <c r="AED236" s="2076"/>
      <c r="AEE236" s="2076"/>
      <c r="AEF236" s="2076"/>
      <c r="AEG236" s="2076"/>
      <c r="AEH236" s="2076"/>
      <c r="AEI236" s="2076"/>
      <c r="AEJ236" s="2076"/>
      <c r="AEK236" s="2076"/>
      <c r="AEL236" s="2076"/>
      <c r="AEM236" s="2076"/>
      <c r="AEN236" s="2076"/>
      <c r="AEO236" s="2076"/>
      <c r="AEP236" s="2076"/>
      <c r="AEQ236" s="2076"/>
      <c r="AER236" s="2076"/>
      <c r="AES236" s="2076"/>
      <c r="AET236" s="2076"/>
      <c r="AEU236" s="2076"/>
      <c r="AEV236" s="2076"/>
      <c r="AEW236" s="2076"/>
      <c r="AEX236" s="2076"/>
      <c r="AEY236" s="2076"/>
      <c r="AEZ236" s="2076"/>
      <c r="AFA236" s="2076"/>
      <c r="AFB236" s="2076"/>
      <c r="AFC236" s="2076"/>
      <c r="AFD236" s="2076"/>
      <c r="AFE236" s="2076"/>
      <c r="AFF236" s="2076"/>
      <c r="AFG236" s="2076"/>
      <c r="AFH236" s="2076"/>
      <c r="AFI236" s="2076"/>
      <c r="AFJ236" s="2076"/>
      <c r="AFK236" s="2076"/>
      <c r="AFL236" s="2076"/>
      <c r="AFM236" s="2076"/>
      <c r="AFN236" s="2076"/>
      <c r="AFO236" s="2076"/>
      <c r="AFP236" s="2076"/>
      <c r="AFQ236" s="2076"/>
      <c r="AFR236" s="2076"/>
      <c r="AFS236" s="2076"/>
      <c r="AFT236" s="2076"/>
      <c r="AFU236" s="2076"/>
      <c r="AFV236" s="2076"/>
      <c r="AFW236" s="2076"/>
      <c r="AFX236" s="2076"/>
      <c r="AFY236" s="2076"/>
      <c r="AFZ236" s="2076"/>
      <c r="AGA236" s="2076"/>
      <c r="AGB236" s="2076"/>
      <c r="AGC236" s="2076"/>
      <c r="AGD236" s="2076"/>
      <c r="AGE236" s="2076"/>
      <c r="AGF236" s="2076"/>
      <c r="AGG236" s="2076"/>
      <c r="AGH236" s="2076"/>
      <c r="AGI236" s="2076"/>
      <c r="AGJ236" s="2076"/>
      <c r="AGK236" s="2076"/>
      <c r="AGL236" s="2076"/>
      <c r="AGM236" s="2076"/>
      <c r="AGN236" s="2076"/>
      <c r="AGO236" s="2076"/>
      <c r="AGP236" s="2076"/>
      <c r="AGQ236" s="2076"/>
      <c r="AGR236" s="2076"/>
      <c r="AGS236" s="2076"/>
      <c r="AGT236" s="2076"/>
      <c r="AGU236" s="2076"/>
      <c r="AGV236" s="2076"/>
      <c r="AGW236" s="2076"/>
      <c r="AGX236" s="2076"/>
      <c r="AGY236" s="2076"/>
      <c r="AGZ236" s="2076"/>
      <c r="AHA236" s="2076"/>
      <c r="AHB236" s="2076"/>
      <c r="AHC236" s="2076"/>
      <c r="AHD236" s="2076"/>
      <c r="AHE236" s="2076"/>
      <c r="AHF236" s="2076"/>
      <c r="AHG236" s="2076"/>
      <c r="AHH236" s="2076"/>
      <c r="AHI236" s="2076"/>
      <c r="AHJ236" s="2076"/>
      <c r="AHK236" s="2076"/>
      <c r="AHL236" s="2076"/>
      <c r="AHM236" s="2076"/>
      <c r="AHN236" s="2076"/>
      <c r="AHO236" s="2076"/>
      <c r="AHP236" s="2076"/>
      <c r="AHQ236" s="2076"/>
      <c r="AHR236" s="2076"/>
      <c r="AHS236" s="2076"/>
      <c r="AHT236" s="2076"/>
      <c r="AHU236" s="2076"/>
      <c r="AHV236" s="2076"/>
      <c r="AHW236" s="2076"/>
      <c r="AHX236" s="2076"/>
      <c r="AHY236" s="2076"/>
      <c r="AHZ236" s="2076"/>
      <c r="AIA236" s="2076"/>
      <c r="AIB236" s="2076"/>
      <c r="AIC236" s="2076"/>
      <c r="AID236" s="2076"/>
      <c r="AIE236" s="2076"/>
      <c r="AIF236" s="2076"/>
      <c r="AIG236" s="2076"/>
      <c r="AIH236" s="2076"/>
      <c r="AII236" s="2076"/>
      <c r="AIJ236" s="2076"/>
      <c r="AIK236" s="2076"/>
      <c r="AIL236" s="2076"/>
      <c r="AIM236" s="2076"/>
      <c r="AIN236" s="2076"/>
      <c r="AIO236" s="2076"/>
      <c r="AIP236" s="2076"/>
      <c r="AIQ236" s="2076"/>
      <c r="AIR236" s="2076"/>
      <c r="AIS236" s="2076"/>
      <c r="AIT236" s="2076"/>
      <c r="AIU236" s="2076"/>
      <c r="AIV236" s="2076"/>
      <c r="AIW236" s="2076"/>
      <c r="AIX236" s="2076"/>
      <c r="AIY236" s="2076"/>
      <c r="AIZ236" s="2076"/>
      <c r="AJA236" s="2076"/>
      <c r="AJB236" s="2076"/>
      <c r="AJC236" s="2076"/>
      <c r="AJD236" s="2076"/>
      <c r="AJE236" s="2076"/>
      <c r="AJF236" s="2076"/>
      <c r="AJG236" s="2076"/>
      <c r="AJH236" s="2076"/>
      <c r="AJI236" s="2076"/>
      <c r="AJJ236" s="2076"/>
      <c r="AJK236" s="2076"/>
      <c r="AJL236" s="2076"/>
      <c r="AJM236" s="2076"/>
      <c r="AJN236" s="2076"/>
      <c r="AJO236" s="2076"/>
      <c r="AJP236" s="2076"/>
      <c r="AJQ236" s="2076"/>
      <c r="AJR236" s="2076"/>
      <c r="AJS236" s="2076"/>
      <c r="AJT236" s="2076"/>
      <c r="AJU236" s="2076"/>
      <c r="AJV236" s="2076"/>
      <c r="AJW236" s="2076"/>
      <c r="AJX236" s="2076"/>
      <c r="AJY236" s="2076"/>
      <c r="AJZ236" s="2076"/>
      <c r="AKA236" s="2076"/>
      <c r="AKB236" s="2076"/>
      <c r="AKC236" s="2076"/>
      <c r="AKD236" s="2076"/>
      <c r="AKE236" s="2076"/>
      <c r="AKF236" s="2076"/>
      <c r="AKG236" s="2076"/>
      <c r="AKH236" s="2076"/>
      <c r="AKI236" s="2076"/>
      <c r="AKJ236" s="2076"/>
      <c r="AKK236" s="2076"/>
      <c r="AKL236" s="2076"/>
      <c r="AKM236" s="2076"/>
      <c r="AKN236" s="2076"/>
      <c r="AKO236" s="2076"/>
      <c r="AKP236" s="2076"/>
      <c r="AKQ236" s="2076"/>
      <c r="AKR236" s="2076"/>
      <c r="AKS236" s="2076"/>
      <c r="AKT236" s="2076"/>
      <c r="AKU236" s="2076"/>
      <c r="AKV236" s="2076"/>
      <c r="AKW236" s="2076"/>
      <c r="AKX236" s="2076"/>
      <c r="AKY236" s="2076"/>
      <c r="AKZ236" s="2076"/>
      <c r="ALA236" s="2076"/>
      <c r="ALB236" s="2076"/>
      <c r="ALC236" s="2076"/>
      <c r="ALD236" s="2076"/>
      <c r="ALE236" s="2076"/>
      <c r="ALF236" s="2076"/>
      <c r="ALG236" s="2076"/>
      <c r="ALH236" s="2076"/>
      <c r="ALI236" s="2076"/>
      <c r="ALJ236" s="2076"/>
      <c r="ALK236" s="2076"/>
      <c r="ALL236" s="2076"/>
      <c r="ALM236" s="2076"/>
      <c r="ALN236" s="2076"/>
      <c r="ALO236" s="2076"/>
      <c r="ALP236" s="2076"/>
      <c r="ALQ236" s="2076"/>
      <c r="ALR236" s="2076"/>
      <c r="ALS236" s="2076"/>
      <c r="ALT236" s="2076"/>
      <c r="ALU236" s="2076"/>
      <c r="ALV236" s="2076"/>
      <c r="ALW236" s="2076"/>
      <c r="ALX236" s="2076"/>
      <c r="ALY236" s="2076"/>
      <c r="ALZ236" s="2076"/>
      <c r="AMA236" s="2076"/>
      <c r="AMB236" s="2076"/>
      <c r="AMC236" s="2076"/>
      <c r="AMD236" s="2076"/>
      <c r="AME236" s="2076"/>
      <c r="AMF236" s="2076"/>
      <c r="AMG236" s="2076"/>
      <c r="AMH236" s="2076"/>
      <c r="AMI236" s="2076"/>
      <c r="AMJ236" s="2076"/>
      <c r="AMK236" s="2076"/>
      <c r="AML236" s="2076"/>
      <c r="AMM236" s="2076"/>
      <c r="AMN236" s="2076"/>
      <c r="AMO236" s="2076"/>
      <c r="AMP236" s="2076"/>
      <c r="AMQ236" s="2076"/>
      <c r="AMR236" s="2076"/>
      <c r="AMS236" s="2076"/>
      <c r="AMT236" s="2076"/>
      <c r="AMU236" s="2076"/>
      <c r="AMV236" s="2076"/>
      <c r="AMW236" s="2076"/>
      <c r="AMX236" s="2076"/>
      <c r="AMY236" s="2076"/>
      <c r="AMZ236" s="2076"/>
      <c r="ANA236" s="2076"/>
      <c r="ANB236" s="2076"/>
      <c r="ANC236" s="2076"/>
      <c r="AND236" s="2076"/>
      <c r="ANE236" s="2076"/>
      <c r="ANF236" s="2076"/>
      <c r="ANG236" s="2076"/>
      <c r="ANH236" s="2076"/>
      <c r="ANI236" s="2076"/>
      <c r="ANJ236" s="2076"/>
      <c r="ANK236" s="2076"/>
      <c r="ANL236" s="2076"/>
      <c r="ANM236" s="2076"/>
      <c r="ANN236" s="2076"/>
      <c r="ANO236" s="2076"/>
      <c r="ANP236" s="2076"/>
      <c r="ANQ236" s="2076"/>
      <c r="ANR236" s="2076"/>
      <c r="ANS236" s="2076"/>
      <c r="ANT236" s="2076"/>
      <c r="ANU236" s="2076"/>
      <c r="ANV236" s="2076"/>
      <c r="ANW236" s="2076"/>
      <c r="ANX236" s="2076"/>
      <c r="ANY236" s="2076"/>
      <c r="ANZ236" s="2076"/>
      <c r="AOA236" s="2076"/>
      <c r="AOB236" s="2076"/>
      <c r="AOC236" s="2076"/>
      <c r="AOD236" s="2076"/>
      <c r="AOE236" s="2076"/>
      <c r="AOF236" s="2076"/>
      <c r="AOG236" s="2076"/>
      <c r="AOH236" s="2076"/>
      <c r="AOI236" s="2076"/>
      <c r="AOJ236" s="2076"/>
      <c r="AOK236" s="2076"/>
      <c r="AOL236" s="2076"/>
      <c r="AOM236" s="2076"/>
      <c r="AON236" s="2076"/>
      <c r="AOO236" s="2076"/>
      <c r="AOP236" s="2076"/>
      <c r="AOQ236" s="2076"/>
      <c r="AOR236" s="2076"/>
      <c r="AOS236" s="2076"/>
      <c r="AOT236" s="2076"/>
      <c r="AOU236" s="2076"/>
      <c r="AOV236" s="2076"/>
      <c r="AOW236" s="2076"/>
      <c r="AOX236" s="2076"/>
      <c r="AOY236" s="2076"/>
      <c r="AOZ236" s="2076"/>
      <c r="APA236" s="2076"/>
      <c r="APB236" s="2076"/>
      <c r="APC236" s="2076"/>
      <c r="APD236" s="2076"/>
      <c r="APE236" s="2076"/>
      <c r="APF236" s="2076"/>
      <c r="APG236" s="2076"/>
      <c r="APH236" s="2076"/>
      <c r="API236" s="2076"/>
      <c r="APJ236" s="2076"/>
      <c r="APK236" s="2076"/>
      <c r="APL236" s="2076"/>
      <c r="APM236" s="2076"/>
      <c r="APN236" s="2076"/>
      <c r="APO236" s="2076"/>
      <c r="APP236" s="2076"/>
      <c r="APQ236" s="2076"/>
      <c r="APR236" s="2076"/>
      <c r="APS236" s="2076"/>
      <c r="APT236" s="2076"/>
      <c r="APU236" s="2076"/>
      <c r="APV236" s="2076"/>
      <c r="APW236" s="2076"/>
      <c r="APX236" s="2076"/>
      <c r="APY236" s="2076"/>
      <c r="APZ236" s="2076"/>
      <c r="AQA236" s="2076"/>
      <c r="AQB236" s="2076"/>
      <c r="AQC236" s="2076"/>
      <c r="AQD236" s="2076"/>
      <c r="AQE236" s="2076"/>
      <c r="AQF236" s="2076"/>
      <c r="AQG236" s="2076"/>
      <c r="AQH236" s="2076"/>
      <c r="AQI236" s="2076"/>
      <c r="AQJ236" s="2076"/>
      <c r="AQK236" s="2076"/>
      <c r="AQL236" s="2076"/>
      <c r="AQM236" s="2076"/>
      <c r="AQN236" s="2076"/>
      <c r="AQO236" s="2076"/>
      <c r="AQP236" s="2076"/>
      <c r="AQQ236" s="2076"/>
      <c r="AQR236" s="2076"/>
      <c r="AQS236" s="2076"/>
      <c r="AQT236" s="2076"/>
      <c r="AQU236" s="2076"/>
      <c r="AQV236" s="2076"/>
      <c r="AQW236" s="2076"/>
      <c r="AQX236" s="2076"/>
      <c r="AQY236" s="2076"/>
      <c r="AQZ236" s="2076"/>
      <c r="ARA236" s="2076"/>
      <c r="ARB236" s="2076"/>
      <c r="ARC236" s="2076"/>
      <c r="ARD236" s="2076"/>
      <c r="ARE236" s="2076"/>
      <c r="ARF236" s="2076"/>
      <c r="ARG236" s="2076"/>
      <c r="ARH236" s="2076"/>
      <c r="ARI236" s="2076"/>
      <c r="ARJ236" s="2076"/>
      <c r="ARK236" s="2076"/>
      <c r="ARL236" s="2076"/>
      <c r="ARM236" s="2076"/>
      <c r="ARN236" s="2076"/>
      <c r="ARO236" s="2076"/>
      <c r="ARP236" s="2076"/>
      <c r="ARQ236" s="2076"/>
      <c r="ARR236" s="2076"/>
      <c r="ARS236" s="2076"/>
      <c r="ART236" s="2076"/>
      <c r="ARU236" s="2076"/>
      <c r="ARV236" s="2076"/>
      <c r="ARW236" s="2076"/>
      <c r="ARX236" s="2076"/>
      <c r="ARY236" s="2076"/>
      <c r="ARZ236" s="2076"/>
      <c r="ASA236" s="2076"/>
      <c r="ASB236" s="2076"/>
      <c r="ASC236" s="2076"/>
      <c r="ASD236" s="2076"/>
      <c r="ASE236" s="2076"/>
      <c r="ASF236" s="2076"/>
      <c r="ASG236" s="2076"/>
      <c r="ASH236" s="2076"/>
      <c r="ASI236" s="2076"/>
      <c r="ASJ236" s="2076"/>
      <c r="ASK236" s="2076"/>
      <c r="ASL236" s="2076"/>
      <c r="ASM236" s="2076"/>
      <c r="ASN236" s="2076"/>
      <c r="ASO236" s="2076"/>
      <c r="ASP236" s="2076"/>
      <c r="ASQ236" s="2076"/>
      <c r="ASR236" s="2076"/>
      <c r="ASS236" s="2076"/>
      <c r="AST236" s="2076"/>
      <c r="ASU236" s="2076"/>
      <c r="ASV236" s="2076"/>
      <c r="ASW236" s="2076"/>
      <c r="ASX236" s="2076"/>
      <c r="ASY236" s="2076"/>
      <c r="ASZ236" s="2076"/>
      <c r="ATA236" s="2076"/>
      <c r="ATB236" s="2076"/>
      <c r="ATC236" s="2076"/>
      <c r="ATD236" s="2076"/>
      <c r="ATE236" s="2076"/>
      <c r="ATF236" s="2076"/>
      <c r="ATG236" s="2076"/>
      <c r="ATH236" s="2076"/>
      <c r="ATI236" s="2076"/>
      <c r="ATJ236" s="2076"/>
      <c r="ATK236" s="2076"/>
      <c r="ATL236" s="2076"/>
      <c r="ATM236" s="2076"/>
      <c r="ATN236" s="2076"/>
      <c r="ATO236" s="2076"/>
      <c r="ATP236" s="2076"/>
      <c r="ATQ236" s="2076"/>
      <c r="ATR236" s="2076"/>
      <c r="ATS236" s="2076"/>
      <c r="ATT236" s="2076"/>
      <c r="ATU236" s="2076"/>
      <c r="ATV236" s="2076"/>
      <c r="ATW236" s="2076"/>
      <c r="ATX236" s="2076"/>
      <c r="ATY236" s="2076"/>
      <c r="ATZ236" s="2076"/>
      <c r="AUA236" s="2076"/>
      <c r="AUB236" s="2076"/>
      <c r="AUC236" s="2076"/>
      <c r="AUD236" s="2076"/>
      <c r="AUE236" s="2076"/>
      <c r="AUF236" s="2076"/>
      <c r="AUG236" s="2076"/>
      <c r="AUH236" s="2076"/>
      <c r="AUI236" s="2076"/>
      <c r="AUJ236" s="2076"/>
      <c r="AUK236" s="2076"/>
      <c r="AUL236" s="2076"/>
      <c r="AUM236" s="2076"/>
      <c r="AUN236" s="2076"/>
      <c r="AUO236" s="2076"/>
      <c r="AUP236" s="2076"/>
      <c r="AUQ236" s="2076"/>
      <c r="AUR236" s="2076"/>
      <c r="AUS236" s="2076"/>
      <c r="AUT236" s="2076"/>
      <c r="AUU236" s="2076"/>
      <c r="AUV236" s="2076"/>
      <c r="AUW236" s="2076"/>
      <c r="AUX236" s="2076"/>
      <c r="AUY236" s="2076"/>
      <c r="AUZ236" s="2076"/>
      <c r="AVA236" s="2076"/>
      <c r="AVB236" s="2076"/>
      <c r="AVC236" s="2076"/>
      <c r="AVD236" s="2076"/>
      <c r="AVE236" s="2076"/>
      <c r="AVF236" s="2076"/>
      <c r="AVG236" s="2076"/>
      <c r="AVH236" s="2076"/>
      <c r="AVI236" s="2076"/>
      <c r="AVJ236" s="2076"/>
      <c r="AVK236" s="2076"/>
      <c r="AVL236" s="2076"/>
      <c r="AVM236" s="2076"/>
      <c r="AVN236" s="2076"/>
      <c r="AVO236" s="2076"/>
      <c r="AVP236" s="2076"/>
      <c r="AVQ236" s="2076"/>
      <c r="AVR236" s="2076"/>
      <c r="AVS236" s="2076"/>
      <c r="AVT236" s="2076"/>
      <c r="AVU236" s="2076"/>
      <c r="AVV236" s="2076"/>
      <c r="AVW236" s="2076"/>
      <c r="AVX236" s="2076"/>
      <c r="AVY236" s="2076"/>
      <c r="AVZ236" s="2076"/>
      <c r="AWA236" s="2076"/>
      <c r="AWB236" s="2076"/>
      <c r="AWC236" s="2076"/>
      <c r="AWD236" s="2076"/>
      <c r="AWE236" s="2076"/>
      <c r="AWF236" s="2076"/>
      <c r="AWG236" s="2076"/>
      <c r="AWH236" s="2076"/>
      <c r="AWI236" s="2076"/>
      <c r="AWJ236" s="2076"/>
      <c r="AWK236" s="2076"/>
      <c r="AWL236" s="2076"/>
      <c r="AWM236" s="2076"/>
      <c r="AWN236" s="2076"/>
      <c r="AWO236" s="2076"/>
      <c r="AWP236" s="2076"/>
      <c r="AWQ236" s="2076"/>
      <c r="AWR236" s="2076"/>
      <c r="AWS236" s="2076"/>
      <c r="AWT236" s="2076"/>
      <c r="AWU236" s="2076"/>
      <c r="AWV236" s="2076"/>
      <c r="AWW236" s="2076"/>
      <c r="AWX236" s="2076"/>
      <c r="AWY236" s="2076"/>
      <c r="AWZ236" s="2076"/>
      <c r="AXA236" s="2076"/>
      <c r="AXB236" s="2076"/>
      <c r="AXC236" s="2076"/>
      <c r="AXD236" s="2076"/>
      <c r="AXE236" s="2076"/>
      <c r="AXF236" s="2076"/>
      <c r="AXG236" s="2076"/>
      <c r="AXH236" s="2076"/>
      <c r="AXI236" s="2076"/>
      <c r="AXJ236" s="2076"/>
    </row>
    <row r="237" spans="1:1310" s="2077" customFormat="1" ht="120.75" customHeight="1">
      <c r="A237" s="2092"/>
      <c r="B237" s="2093"/>
      <c r="C237" s="2093"/>
      <c r="D237" s="2093"/>
      <c r="E237" s="2093"/>
      <c r="F237" s="2084"/>
      <c r="G237" s="3240" t="s">
        <v>2395</v>
      </c>
      <c r="H237" s="3240"/>
      <c r="I237" s="3240"/>
      <c r="J237" s="2078"/>
      <c r="K237" s="2094"/>
      <c r="L237" s="2093"/>
      <c r="M237" s="2093"/>
      <c r="N237" s="2093"/>
      <c r="O237" s="2093"/>
      <c r="P237" s="2093"/>
      <c r="Q237" s="2093"/>
      <c r="R237" s="755"/>
      <c r="S237" s="755"/>
      <c r="T237" s="755"/>
      <c r="U237" s="755"/>
      <c r="V237" s="755"/>
      <c r="W237" s="755"/>
      <c r="X237" s="755"/>
      <c r="Y237" s="755"/>
      <c r="Z237" s="755"/>
      <c r="AA237" s="755"/>
      <c r="AB237" s="755"/>
      <c r="AC237" s="755"/>
      <c r="AD237" s="2075"/>
      <c r="AE237" s="2075"/>
      <c r="AF237" s="2075"/>
      <c r="AG237" s="2075"/>
      <c r="AH237" s="2075"/>
      <c r="AI237" s="2075"/>
      <c r="AJ237" s="2075"/>
      <c r="AK237" s="2075"/>
      <c r="AL237" s="2075"/>
      <c r="AM237" s="2075"/>
      <c r="AN237" s="2075"/>
      <c r="AO237" s="2075"/>
      <c r="AP237" s="2075"/>
      <c r="AQ237" s="2075"/>
      <c r="AR237" s="2075"/>
      <c r="AS237" s="2075"/>
      <c r="AT237" s="2075"/>
      <c r="AU237" s="2075"/>
      <c r="AV237" s="2076"/>
      <c r="AW237" s="2076"/>
      <c r="AX237" s="2076"/>
      <c r="AY237" s="2076"/>
      <c r="AZ237" s="2076"/>
      <c r="BA237" s="2076"/>
      <c r="BB237" s="2076"/>
      <c r="BC237" s="2076"/>
      <c r="BD237" s="2076"/>
      <c r="BE237" s="2076"/>
      <c r="BF237" s="2076"/>
      <c r="BG237" s="2076"/>
      <c r="BH237" s="2076"/>
      <c r="BI237" s="2076"/>
      <c r="BJ237" s="2076"/>
      <c r="BK237" s="2076"/>
      <c r="BL237" s="2076"/>
      <c r="BM237" s="2076"/>
      <c r="BN237" s="2076"/>
      <c r="BO237" s="2076"/>
      <c r="BP237" s="2076"/>
      <c r="BQ237" s="2076"/>
      <c r="BR237" s="2076"/>
      <c r="BS237" s="2076"/>
      <c r="BT237" s="2076"/>
      <c r="BU237" s="2076"/>
      <c r="BV237" s="2076"/>
      <c r="BW237" s="2076"/>
      <c r="BX237" s="2076"/>
      <c r="BY237" s="2076"/>
      <c r="BZ237" s="2076"/>
      <c r="CA237" s="2076"/>
      <c r="CB237" s="2076"/>
      <c r="CC237" s="2076"/>
      <c r="CD237" s="2076"/>
      <c r="CE237" s="2076"/>
      <c r="CF237" s="2076"/>
      <c r="CG237" s="2076"/>
      <c r="CH237" s="2076"/>
      <c r="CI237" s="2076"/>
      <c r="CJ237" s="2076"/>
      <c r="CK237" s="2076"/>
      <c r="CL237" s="2076"/>
      <c r="CM237" s="2076"/>
      <c r="CN237" s="2076"/>
      <c r="CO237" s="2076"/>
      <c r="CP237" s="2076"/>
      <c r="CQ237" s="2076"/>
      <c r="CR237" s="2076"/>
      <c r="CS237" s="2076"/>
      <c r="CT237" s="2076"/>
      <c r="CU237" s="2076"/>
      <c r="CV237" s="2076"/>
      <c r="CW237" s="2076"/>
      <c r="CX237" s="2076"/>
      <c r="CY237" s="2076"/>
      <c r="CZ237" s="2076"/>
      <c r="DA237" s="2076"/>
      <c r="DB237" s="2076"/>
      <c r="DC237" s="2076"/>
      <c r="DD237" s="2076"/>
      <c r="DE237" s="2076"/>
      <c r="DF237" s="2076"/>
      <c r="DG237" s="2076"/>
      <c r="DH237" s="2076"/>
      <c r="DI237" s="2076"/>
      <c r="DJ237" s="2076"/>
      <c r="DK237" s="2076"/>
      <c r="DL237" s="2076"/>
      <c r="DM237" s="2076"/>
      <c r="DN237" s="2076"/>
      <c r="DO237" s="2076"/>
      <c r="DP237" s="2076"/>
      <c r="DQ237" s="2076"/>
      <c r="DR237" s="2076"/>
      <c r="DS237" s="2076"/>
      <c r="DT237" s="2076"/>
      <c r="DU237" s="2076"/>
      <c r="DV237" s="2076"/>
      <c r="DW237" s="2076"/>
      <c r="DX237" s="2076"/>
      <c r="DY237" s="2076"/>
      <c r="DZ237" s="2076"/>
      <c r="EA237" s="2076"/>
      <c r="EB237" s="2076"/>
      <c r="EC237" s="2076"/>
      <c r="ED237" s="2076"/>
      <c r="EE237" s="2076"/>
      <c r="EF237" s="2076"/>
      <c r="EG237" s="2076"/>
      <c r="EH237" s="2076"/>
      <c r="EI237" s="2076"/>
      <c r="EJ237" s="2076"/>
      <c r="EK237" s="2076"/>
      <c r="EL237" s="2076"/>
      <c r="EM237" s="2076"/>
      <c r="EN237" s="2076"/>
      <c r="EO237" s="2076"/>
      <c r="EP237" s="2076"/>
      <c r="EQ237" s="2076"/>
      <c r="ER237" s="2076"/>
      <c r="ES237" s="2076"/>
      <c r="ET237" s="2076"/>
      <c r="EU237" s="2076"/>
      <c r="EV237" s="2076"/>
      <c r="EW237" s="2076"/>
      <c r="EX237" s="2076"/>
      <c r="EY237" s="2076"/>
      <c r="EZ237" s="2076"/>
      <c r="FA237" s="2076"/>
      <c r="FB237" s="2076"/>
      <c r="FC237" s="2076"/>
      <c r="FD237" s="2076"/>
      <c r="FE237" s="2076"/>
      <c r="FF237" s="2076"/>
      <c r="FG237" s="2076"/>
      <c r="FH237" s="2076"/>
      <c r="FI237" s="2076"/>
      <c r="FJ237" s="2076"/>
      <c r="FK237" s="2076"/>
      <c r="FL237" s="2076"/>
      <c r="FM237" s="2076"/>
      <c r="FN237" s="2076"/>
      <c r="FO237" s="2076"/>
      <c r="FP237" s="2076"/>
      <c r="FQ237" s="2076"/>
      <c r="FR237" s="2076"/>
      <c r="FS237" s="2076"/>
      <c r="FT237" s="2076"/>
      <c r="FU237" s="2076"/>
      <c r="FV237" s="2076"/>
      <c r="FW237" s="2076"/>
      <c r="FX237" s="2076"/>
      <c r="FY237" s="2076"/>
      <c r="FZ237" s="2076"/>
      <c r="GA237" s="2076"/>
      <c r="GB237" s="2076"/>
      <c r="GC237" s="2076"/>
      <c r="GD237" s="2076"/>
      <c r="GE237" s="2076"/>
      <c r="GF237" s="2076"/>
      <c r="GG237" s="2076"/>
      <c r="GH237" s="2076"/>
      <c r="GI237" s="2076"/>
      <c r="GJ237" s="2076"/>
      <c r="GK237" s="2076"/>
      <c r="GL237" s="2076"/>
      <c r="GM237" s="2076"/>
      <c r="GN237" s="2076"/>
      <c r="GO237" s="2076"/>
      <c r="GP237" s="2076"/>
      <c r="GQ237" s="2076"/>
      <c r="GR237" s="2076"/>
      <c r="GS237" s="2076"/>
      <c r="GT237" s="2076"/>
      <c r="GU237" s="2076"/>
      <c r="GV237" s="2076"/>
      <c r="GW237" s="2076"/>
      <c r="GX237" s="2076"/>
      <c r="GY237" s="2076"/>
      <c r="GZ237" s="2076"/>
      <c r="HA237" s="2076"/>
      <c r="HB237" s="2076"/>
      <c r="HC237" s="2076"/>
      <c r="HD237" s="2076"/>
      <c r="HE237" s="2076"/>
      <c r="HF237" s="2076"/>
      <c r="HG237" s="2076"/>
      <c r="HH237" s="2076"/>
      <c r="HI237" s="2076"/>
      <c r="HJ237" s="2076"/>
      <c r="HK237" s="2076"/>
      <c r="HL237" s="2076"/>
      <c r="HM237" s="2076"/>
      <c r="HN237" s="2076"/>
      <c r="HO237" s="2076"/>
      <c r="HP237" s="2076"/>
      <c r="HQ237" s="2076"/>
      <c r="HR237" s="2076"/>
      <c r="HS237" s="2076"/>
      <c r="HT237" s="2076"/>
      <c r="HU237" s="2076"/>
      <c r="HV237" s="2076"/>
      <c r="HW237" s="2076"/>
      <c r="HX237" s="2076"/>
      <c r="HY237" s="2076"/>
      <c r="HZ237" s="2076"/>
      <c r="IA237" s="2076"/>
      <c r="IB237" s="2076"/>
      <c r="IC237" s="2076"/>
      <c r="ID237" s="2076"/>
      <c r="IE237" s="2076"/>
      <c r="IF237" s="2076"/>
      <c r="IG237" s="2076"/>
      <c r="IH237" s="2076"/>
      <c r="II237" s="2076"/>
      <c r="IJ237" s="2076"/>
      <c r="IK237" s="2076"/>
      <c r="IL237" s="2076"/>
      <c r="IM237" s="2076"/>
      <c r="IN237" s="2076"/>
      <c r="IO237" s="2076"/>
      <c r="IP237" s="2076"/>
      <c r="IQ237" s="2076"/>
      <c r="IR237" s="2076"/>
      <c r="IS237" s="2076"/>
      <c r="IT237" s="2076"/>
      <c r="IU237" s="2076"/>
      <c r="IV237" s="2076"/>
      <c r="IW237" s="2076"/>
      <c r="IX237" s="2076"/>
      <c r="IY237" s="2076"/>
      <c r="IZ237" s="2076"/>
      <c r="JA237" s="2076"/>
      <c r="JB237" s="2076"/>
      <c r="JC237" s="2076"/>
      <c r="JD237" s="2076"/>
      <c r="JE237" s="2076"/>
      <c r="JF237" s="2076"/>
      <c r="JG237" s="2076"/>
      <c r="JH237" s="2076"/>
      <c r="JI237" s="2076"/>
      <c r="JJ237" s="2076"/>
      <c r="JK237" s="2076"/>
      <c r="JL237" s="2076"/>
      <c r="JM237" s="2076"/>
      <c r="JN237" s="2076"/>
      <c r="JO237" s="2076"/>
      <c r="JP237" s="2076"/>
      <c r="JQ237" s="2076"/>
      <c r="JR237" s="2076"/>
      <c r="JS237" s="2076"/>
      <c r="JT237" s="2076"/>
      <c r="JU237" s="2076"/>
      <c r="JV237" s="2076"/>
      <c r="JW237" s="2076"/>
      <c r="JX237" s="2076"/>
      <c r="JY237" s="2076"/>
      <c r="JZ237" s="2076"/>
      <c r="KA237" s="2076"/>
      <c r="KB237" s="2076"/>
      <c r="KC237" s="2076"/>
      <c r="KD237" s="2076"/>
      <c r="KE237" s="2076"/>
      <c r="KF237" s="2076"/>
      <c r="KG237" s="2076"/>
      <c r="KH237" s="2076"/>
      <c r="KI237" s="2076"/>
      <c r="KJ237" s="2076"/>
      <c r="KK237" s="2076"/>
      <c r="KL237" s="2076"/>
      <c r="KM237" s="2076"/>
      <c r="KN237" s="2076"/>
      <c r="KO237" s="2076"/>
      <c r="KP237" s="2076"/>
      <c r="KQ237" s="2076"/>
      <c r="KR237" s="2076"/>
      <c r="KS237" s="2076"/>
      <c r="KT237" s="2076"/>
      <c r="KU237" s="2076"/>
      <c r="KV237" s="2076"/>
      <c r="KW237" s="2076"/>
      <c r="KX237" s="2076"/>
      <c r="KY237" s="2076"/>
      <c r="KZ237" s="2076"/>
      <c r="LA237" s="2076"/>
      <c r="LB237" s="2076"/>
      <c r="LC237" s="2076"/>
      <c r="LD237" s="2076"/>
      <c r="LE237" s="2076"/>
      <c r="LF237" s="2076"/>
      <c r="LG237" s="2076"/>
      <c r="LH237" s="2076"/>
      <c r="LI237" s="2076"/>
      <c r="LJ237" s="2076"/>
      <c r="LK237" s="2076"/>
      <c r="LL237" s="2076"/>
      <c r="LM237" s="2076"/>
      <c r="LN237" s="2076"/>
      <c r="LO237" s="2076"/>
      <c r="LP237" s="2076"/>
      <c r="LQ237" s="2076"/>
      <c r="LR237" s="2076"/>
      <c r="LS237" s="2076"/>
      <c r="LT237" s="2076"/>
      <c r="LU237" s="2076"/>
      <c r="LV237" s="2076"/>
      <c r="LW237" s="2076"/>
      <c r="LX237" s="2076"/>
      <c r="LY237" s="2076"/>
      <c r="LZ237" s="2076"/>
      <c r="MA237" s="2076"/>
      <c r="MB237" s="2076"/>
      <c r="MC237" s="2076"/>
      <c r="MD237" s="2076"/>
      <c r="ME237" s="2076"/>
      <c r="MF237" s="2076"/>
      <c r="MG237" s="2076"/>
      <c r="MH237" s="2076"/>
      <c r="MI237" s="2076"/>
      <c r="MJ237" s="2076"/>
      <c r="MK237" s="2076"/>
      <c r="ML237" s="2076"/>
      <c r="MM237" s="2076"/>
      <c r="MN237" s="2076"/>
      <c r="MO237" s="2076"/>
      <c r="MP237" s="2076"/>
      <c r="MQ237" s="2076"/>
      <c r="MR237" s="2076"/>
      <c r="MS237" s="2076"/>
      <c r="MT237" s="2076"/>
      <c r="MU237" s="2076"/>
      <c r="MV237" s="2076"/>
      <c r="MW237" s="2076"/>
      <c r="MX237" s="2076"/>
      <c r="MY237" s="2076"/>
      <c r="MZ237" s="2076"/>
      <c r="NA237" s="2076"/>
      <c r="NB237" s="2076"/>
      <c r="NC237" s="2076"/>
      <c r="ND237" s="2076"/>
      <c r="NE237" s="2076"/>
      <c r="NF237" s="2076"/>
      <c r="NG237" s="2076"/>
      <c r="NH237" s="2076"/>
      <c r="NI237" s="2076"/>
      <c r="NJ237" s="2076"/>
      <c r="NK237" s="2076"/>
      <c r="NL237" s="2076"/>
      <c r="NM237" s="2076"/>
      <c r="NN237" s="2076"/>
      <c r="NO237" s="2076"/>
      <c r="NP237" s="2076"/>
      <c r="NQ237" s="2076"/>
      <c r="NR237" s="2076"/>
      <c r="NS237" s="2076"/>
      <c r="NT237" s="2076"/>
      <c r="NU237" s="2076"/>
      <c r="NV237" s="2076"/>
      <c r="NW237" s="2076"/>
      <c r="NX237" s="2076"/>
      <c r="NY237" s="2076"/>
      <c r="NZ237" s="2076"/>
      <c r="OA237" s="2076"/>
      <c r="OB237" s="2076"/>
      <c r="OC237" s="2076"/>
      <c r="OD237" s="2076"/>
      <c r="OE237" s="2076"/>
      <c r="OF237" s="2076"/>
      <c r="OG237" s="2076"/>
      <c r="OH237" s="2076"/>
      <c r="OI237" s="2076"/>
      <c r="OJ237" s="2076"/>
      <c r="OK237" s="2076"/>
      <c r="OL237" s="2076"/>
      <c r="OM237" s="2076"/>
      <c r="ON237" s="2076"/>
      <c r="OO237" s="2076"/>
      <c r="OP237" s="2076"/>
      <c r="OQ237" s="2076"/>
      <c r="OR237" s="2076"/>
      <c r="OS237" s="2076"/>
      <c r="OT237" s="2076"/>
      <c r="OU237" s="2076"/>
      <c r="OV237" s="2076"/>
      <c r="OW237" s="2076"/>
      <c r="OX237" s="2076"/>
      <c r="OY237" s="2076"/>
      <c r="OZ237" s="2076"/>
      <c r="PA237" s="2076"/>
      <c r="PB237" s="2076"/>
      <c r="PC237" s="2076"/>
      <c r="PD237" s="2076"/>
      <c r="PE237" s="2076"/>
      <c r="PF237" s="2076"/>
      <c r="PG237" s="2076"/>
      <c r="PH237" s="2076"/>
      <c r="PI237" s="2076"/>
      <c r="PJ237" s="2076"/>
      <c r="PK237" s="2076"/>
      <c r="PL237" s="2076"/>
      <c r="PM237" s="2076"/>
      <c r="PN237" s="2076"/>
      <c r="PO237" s="2076"/>
      <c r="PP237" s="2076"/>
      <c r="PQ237" s="2076"/>
      <c r="PR237" s="2076"/>
      <c r="PS237" s="2076"/>
      <c r="PT237" s="2076"/>
      <c r="PU237" s="2076"/>
      <c r="PV237" s="2076"/>
      <c r="PW237" s="2076"/>
      <c r="PX237" s="2076"/>
      <c r="PY237" s="2076"/>
      <c r="PZ237" s="2076"/>
      <c r="QA237" s="2076"/>
      <c r="QB237" s="2076"/>
      <c r="QC237" s="2076"/>
      <c r="QD237" s="2076"/>
      <c r="QE237" s="2076"/>
      <c r="QF237" s="2076"/>
      <c r="QG237" s="2076"/>
      <c r="QH237" s="2076"/>
      <c r="QI237" s="2076"/>
      <c r="QJ237" s="2076"/>
      <c r="QK237" s="2076"/>
      <c r="QL237" s="2076"/>
      <c r="QM237" s="2076"/>
      <c r="QN237" s="2076"/>
      <c r="QO237" s="2076"/>
      <c r="QP237" s="2076"/>
      <c r="QQ237" s="2076"/>
      <c r="QR237" s="2076"/>
      <c r="QS237" s="2076"/>
      <c r="QT237" s="2076"/>
      <c r="QU237" s="2076"/>
      <c r="QV237" s="2076"/>
      <c r="QW237" s="2076"/>
      <c r="QX237" s="2076"/>
      <c r="QY237" s="2076"/>
      <c r="QZ237" s="2076"/>
      <c r="RA237" s="2076"/>
      <c r="RB237" s="2076"/>
      <c r="RC237" s="2076"/>
      <c r="RD237" s="2076"/>
      <c r="RE237" s="2076"/>
      <c r="RF237" s="2076"/>
      <c r="RG237" s="2076"/>
      <c r="RH237" s="2076"/>
      <c r="RI237" s="2076"/>
      <c r="RJ237" s="2076"/>
      <c r="RK237" s="2076"/>
      <c r="RL237" s="2076"/>
      <c r="RM237" s="2076"/>
      <c r="RN237" s="2076"/>
      <c r="RO237" s="2076"/>
      <c r="RP237" s="2076"/>
      <c r="RQ237" s="2076"/>
      <c r="RR237" s="2076"/>
      <c r="RS237" s="2076"/>
      <c r="RT237" s="2076"/>
      <c r="RU237" s="2076"/>
      <c r="RV237" s="2076"/>
      <c r="RW237" s="2076"/>
      <c r="RX237" s="2076"/>
      <c r="RY237" s="2076"/>
      <c r="RZ237" s="2076"/>
      <c r="SA237" s="2076"/>
      <c r="SB237" s="2076"/>
      <c r="SC237" s="2076"/>
      <c r="SD237" s="2076"/>
      <c r="SE237" s="2076"/>
      <c r="SF237" s="2076"/>
      <c r="SG237" s="2076"/>
      <c r="SH237" s="2076"/>
      <c r="SI237" s="2076"/>
      <c r="SJ237" s="2076"/>
      <c r="SK237" s="2076"/>
      <c r="SL237" s="2076"/>
      <c r="SM237" s="2076"/>
      <c r="SN237" s="2076"/>
      <c r="SO237" s="2076"/>
      <c r="SP237" s="2076"/>
      <c r="SQ237" s="2076"/>
      <c r="SR237" s="2076"/>
      <c r="SS237" s="2076"/>
      <c r="ST237" s="2076"/>
      <c r="SU237" s="2076"/>
      <c r="SV237" s="2076"/>
      <c r="SW237" s="2076"/>
      <c r="SX237" s="2076"/>
      <c r="SY237" s="2076"/>
      <c r="SZ237" s="2076"/>
      <c r="TA237" s="2076"/>
      <c r="TB237" s="2076"/>
      <c r="TC237" s="2076"/>
      <c r="TD237" s="2076"/>
      <c r="TE237" s="2076"/>
      <c r="TF237" s="2076"/>
      <c r="TG237" s="2076"/>
      <c r="TH237" s="2076"/>
      <c r="TI237" s="2076"/>
      <c r="TJ237" s="2076"/>
      <c r="TK237" s="2076"/>
      <c r="TL237" s="2076"/>
      <c r="TM237" s="2076"/>
      <c r="TN237" s="2076"/>
      <c r="TO237" s="2076"/>
      <c r="TP237" s="2076"/>
      <c r="TQ237" s="2076"/>
      <c r="TR237" s="2076"/>
      <c r="TS237" s="2076"/>
      <c r="TT237" s="2076"/>
      <c r="TU237" s="2076"/>
      <c r="TV237" s="2076"/>
      <c r="TW237" s="2076"/>
      <c r="TX237" s="2076"/>
      <c r="TY237" s="2076"/>
      <c r="TZ237" s="2076"/>
      <c r="UA237" s="2076"/>
      <c r="UB237" s="2076"/>
      <c r="UC237" s="2076"/>
      <c r="UD237" s="2076"/>
      <c r="UE237" s="2076"/>
      <c r="UF237" s="2076"/>
      <c r="UG237" s="2076"/>
      <c r="UH237" s="2076"/>
      <c r="UI237" s="2076"/>
      <c r="UJ237" s="2076"/>
      <c r="UK237" s="2076"/>
      <c r="UL237" s="2076"/>
      <c r="UM237" s="2076"/>
      <c r="UN237" s="2076"/>
      <c r="UO237" s="2076"/>
      <c r="UP237" s="2076"/>
      <c r="UQ237" s="2076"/>
      <c r="UR237" s="2076"/>
      <c r="US237" s="2076"/>
      <c r="UT237" s="2076"/>
      <c r="UU237" s="2076"/>
      <c r="UV237" s="2076"/>
      <c r="UW237" s="2076"/>
      <c r="UX237" s="2076"/>
      <c r="UY237" s="2076"/>
      <c r="UZ237" s="2076"/>
      <c r="VA237" s="2076"/>
      <c r="VB237" s="2076"/>
      <c r="VC237" s="2076"/>
      <c r="VD237" s="2076"/>
      <c r="VE237" s="2076"/>
      <c r="VF237" s="2076"/>
      <c r="VG237" s="2076"/>
      <c r="VH237" s="2076"/>
      <c r="VI237" s="2076"/>
      <c r="VJ237" s="2076"/>
      <c r="VK237" s="2076"/>
      <c r="VL237" s="2076"/>
      <c r="VM237" s="2076"/>
      <c r="VN237" s="2076"/>
      <c r="VO237" s="2076"/>
      <c r="VP237" s="2076"/>
      <c r="VQ237" s="2076"/>
      <c r="VR237" s="2076"/>
      <c r="VS237" s="2076"/>
      <c r="VT237" s="2076"/>
      <c r="VU237" s="2076"/>
      <c r="VV237" s="2076"/>
      <c r="VW237" s="2076"/>
      <c r="VX237" s="2076"/>
      <c r="VY237" s="2076"/>
      <c r="VZ237" s="2076"/>
      <c r="WA237" s="2076"/>
      <c r="WB237" s="2076"/>
      <c r="WC237" s="2076"/>
      <c r="WD237" s="2076"/>
      <c r="WE237" s="2076"/>
      <c r="WF237" s="2076"/>
      <c r="WG237" s="2076"/>
      <c r="WH237" s="2076"/>
      <c r="WI237" s="2076"/>
      <c r="WJ237" s="2076"/>
      <c r="WK237" s="2076"/>
      <c r="WL237" s="2076"/>
      <c r="WM237" s="2076"/>
      <c r="WN237" s="2076"/>
      <c r="WO237" s="2076"/>
      <c r="WP237" s="2076"/>
      <c r="WQ237" s="2076"/>
      <c r="WR237" s="2076"/>
      <c r="WS237" s="2076"/>
      <c r="WT237" s="2076"/>
      <c r="WU237" s="2076"/>
      <c r="WV237" s="2076"/>
      <c r="WW237" s="2076"/>
      <c r="WX237" s="2076"/>
      <c r="WY237" s="2076"/>
      <c r="WZ237" s="2076"/>
      <c r="XA237" s="2076"/>
      <c r="XB237" s="2076"/>
      <c r="XC237" s="2076"/>
      <c r="XD237" s="2076"/>
      <c r="XE237" s="2076"/>
      <c r="XF237" s="2076"/>
      <c r="XG237" s="2076"/>
      <c r="XH237" s="2076"/>
      <c r="XI237" s="2076"/>
      <c r="XJ237" s="2076"/>
      <c r="XK237" s="2076"/>
      <c r="XL237" s="2076"/>
      <c r="XM237" s="2076"/>
      <c r="XN237" s="2076"/>
      <c r="XO237" s="2076"/>
      <c r="XP237" s="2076"/>
      <c r="XQ237" s="2076"/>
      <c r="XR237" s="2076"/>
      <c r="XS237" s="2076"/>
      <c r="XT237" s="2076"/>
      <c r="XU237" s="2076"/>
      <c r="XV237" s="2076"/>
      <c r="XW237" s="2076"/>
      <c r="XX237" s="2076"/>
      <c r="XY237" s="2076"/>
      <c r="XZ237" s="2076"/>
      <c r="YA237" s="2076"/>
      <c r="YB237" s="2076"/>
      <c r="YC237" s="2076"/>
      <c r="YD237" s="2076"/>
      <c r="YE237" s="2076"/>
      <c r="YF237" s="2076"/>
      <c r="YG237" s="2076"/>
      <c r="YH237" s="2076"/>
      <c r="YI237" s="2076"/>
      <c r="YJ237" s="2076"/>
      <c r="YK237" s="2076"/>
      <c r="YL237" s="2076"/>
      <c r="YM237" s="2076"/>
      <c r="YN237" s="2076"/>
      <c r="YO237" s="2076"/>
      <c r="YP237" s="2076"/>
      <c r="YQ237" s="2076"/>
      <c r="YR237" s="2076"/>
      <c r="YS237" s="2076"/>
      <c r="YT237" s="2076"/>
      <c r="YU237" s="2076"/>
      <c r="YV237" s="2076"/>
      <c r="YW237" s="2076"/>
      <c r="YX237" s="2076"/>
      <c r="YY237" s="2076"/>
      <c r="YZ237" s="2076"/>
      <c r="ZA237" s="2076"/>
      <c r="ZB237" s="2076"/>
      <c r="ZC237" s="2076"/>
      <c r="ZD237" s="2076"/>
      <c r="ZE237" s="2076"/>
      <c r="ZF237" s="2076"/>
      <c r="ZG237" s="2076"/>
      <c r="ZH237" s="2076"/>
      <c r="ZI237" s="2076"/>
      <c r="ZJ237" s="2076"/>
      <c r="ZK237" s="2076"/>
      <c r="ZL237" s="2076"/>
      <c r="ZM237" s="2076"/>
      <c r="ZN237" s="2076"/>
      <c r="ZO237" s="2076"/>
      <c r="ZP237" s="2076"/>
      <c r="ZQ237" s="2076"/>
      <c r="ZR237" s="2076"/>
      <c r="ZS237" s="2076"/>
      <c r="ZT237" s="2076"/>
      <c r="ZU237" s="2076"/>
      <c r="ZV237" s="2076"/>
      <c r="ZW237" s="2076"/>
      <c r="ZX237" s="2076"/>
      <c r="ZY237" s="2076"/>
      <c r="ZZ237" s="2076"/>
      <c r="AAA237" s="2076"/>
      <c r="AAB237" s="2076"/>
      <c r="AAC237" s="2076"/>
      <c r="AAD237" s="2076"/>
      <c r="AAE237" s="2076"/>
      <c r="AAF237" s="2076"/>
      <c r="AAG237" s="2076"/>
      <c r="AAH237" s="2076"/>
      <c r="AAI237" s="2076"/>
      <c r="AAJ237" s="2076"/>
      <c r="AAK237" s="2076"/>
      <c r="AAL237" s="2076"/>
      <c r="AAM237" s="2076"/>
      <c r="AAN237" s="2076"/>
      <c r="AAO237" s="2076"/>
      <c r="AAP237" s="2076"/>
      <c r="AAQ237" s="2076"/>
      <c r="AAR237" s="2076"/>
      <c r="AAS237" s="2076"/>
      <c r="AAT237" s="2076"/>
      <c r="AAU237" s="2076"/>
      <c r="AAV237" s="2076"/>
      <c r="AAW237" s="2076"/>
      <c r="AAX237" s="2076"/>
      <c r="AAY237" s="2076"/>
      <c r="AAZ237" s="2076"/>
      <c r="ABA237" s="2076"/>
      <c r="ABB237" s="2076"/>
      <c r="ABC237" s="2076"/>
      <c r="ABD237" s="2076"/>
      <c r="ABE237" s="2076"/>
      <c r="ABF237" s="2076"/>
      <c r="ABG237" s="2076"/>
      <c r="ABH237" s="2076"/>
      <c r="ABI237" s="2076"/>
      <c r="ABJ237" s="2076"/>
      <c r="ABK237" s="2076"/>
      <c r="ABL237" s="2076"/>
      <c r="ABM237" s="2076"/>
      <c r="ABN237" s="2076"/>
      <c r="ABO237" s="2076"/>
      <c r="ABP237" s="2076"/>
      <c r="ABQ237" s="2076"/>
      <c r="ABR237" s="2076"/>
      <c r="ABS237" s="2076"/>
      <c r="ABT237" s="2076"/>
      <c r="ABU237" s="2076"/>
      <c r="ABV237" s="2076"/>
      <c r="ABW237" s="2076"/>
      <c r="ABX237" s="2076"/>
      <c r="ABY237" s="2076"/>
      <c r="ABZ237" s="2076"/>
      <c r="ACA237" s="2076"/>
      <c r="ACB237" s="2076"/>
      <c r="ACC237" s="2076"/>
      <c r="ACD237" s="2076"/>
      <c r="ACE237" s="2076"/>
      <c r="ACF237" s="2076"/>
      <c r="ACG237" s="2076"/>
      <c r="ACH237" s="2076"/>
      <c r="ACI237" s="2076"/>
      <c r="ACJ237" s="2076"/>
      <c r="ACK237" s="2076"/>
      <c r="ACL237" s="2076"/>
      <c r="ACM237" s="2076"/>
      <c r="ACN237" s="2076"/>
      <c r="ACO237" s="2076"/>
      <c r="ACP237" s="2076"/>
      <c r="ACQ237" s="2076"/>
      <c r="ACR237" s="2076"/>
      <c r="ACS237" s="2076"/>
      <c r="ACT237" s="2076"/>
      <c r="ACU237" s="2076"/>
      <c r="ACV237" s="2076"/>
      <c r="ACW237" s="2076"/>
      <c r="ACX237" s="2076"/>
      <c r="ACY237" s="2076"/>
      <c r="ACZ237" s="2076"/>
      <c r="ADA237" s="2076"/>
      <c r="ADB237" s="2076"/>
      <c r="ADC237" s="2076"/>
      <c r="ADD237" s="2076"/>
      <c r="ADE237" s="2076"/>
      <c r="ADF237" s="2076"/>
      <c r="ADG237" s="2076"/>
      <c r="ADH237" s="2076"/>
      <c r="ADI237" s="2076"/>
      <c r="ADJ237" s="2076"/>
      <c r="ADK237" s="2076"/>
      <c r="ADL237" s="2076"/>
      <c r="ADM237" s="2076"/>
      <c r="ADN237" s="2076"/>
      <c r="ADO237" s="2076"/>
      <c r="ADP237" s="2076"/>
      <c r="ADQ237" s="2076"/>
      <c r="ADR237" s="2076"/>
      <c r="ADS237" s="2076"/>
      <c r="ADT237" s="2076"/>
      <c r="ADU237" s="2076"/>
      <c r="ADV237" s="2076"/>
      <c r="ADW237" s="2076"/>
      <c r="ADX237" s="2076"/>
      <c r="ADY237" s="2076"/>
      <c r="ADZ237" s="2076"/>
      <c r="AEA237" s="2076"/>
      <c r="AEB237" s="2076"/>
      <c r="AEC237" s="2076"/>
      <c r="AED237" s="2076"/>
      <c r="AEE237" s="2076"/>
      <c r="AEF237" s="2076"/>
      <c r="AEG237" s="2076"/>
      <c r="AEH237" s="2076"/>
      <c r="AEI237" s="2076"/>
      <c r="AEJ237" s="2076"/>
      <c r="AEK237" s="2076"/>
      <c r="AEL237" s="2076"/>
      <c r="AEM237" s="2076"/>
      <c r="AEN237" s="2076"/>
      <c r="AEO237" s="2076"/>
      <c r="AEP237" s="2076"/>
      <c r="AEQ237" s="2076"/>
      <c r="AER237" s="2076"/>
      <c r="AES237" s="2076"/>
      <c r="AET237" s="2076"/>
      <c r="AEU237" s="2076"/>
      <c r="AEV237" s="2076"/>
      <c r="AEW237" s="2076"/>
      <c r="AEX237" s="2076"/>
      <c r="AEY237" s="2076"/>
      <c r="AEZ237" s="2076"/>
      <c r="AFA237" s="2076"/>
      <c r="AFB237" s="2076"/>
      <c r="AFC237" s="2076"/>
      <c r="AFD237" s="2076"/>
      <c r="AFE237" s="2076"/>
      <c r="AFF237" s="2076"/>
      <c r="AFG237" s="2076"/>
      <c r="AFH237" s="2076"/>
      <c r="AFI237" s="2076"/>
      <c r="AFJ237" s="2076"/>
      <c r="AFK237" s="2076"/>
      <c r="AFL237" s="2076"/>
      <c r="AFM237" s="2076"/>
      <c r="AFN237" s="2076"/>
      <c r="AFO237" s="2076"/>
      <c r="AFP237" s="2076"/>
      <c r="AFQ237" s="2076"/>
      <c r="AFR237" s="2076"/>
      <c r="AFS237" s="2076"/>
      <c r="AFT237" s="2076"/>
      <c r="AFU237" s="2076"/>
      <c r="AFV237" s="2076"/>
      <c r="AFW237" s="2076"/>
      <c r="AFX237" s="2076"/>
      <c r="AFY237" s="2076"/>
      <c r="AFZ237" s="2076"/>
      <c r="AGA237" s="2076"/>
      <c r="AGB237" s="2076"/>
      <c r="AGC237" s="2076"/>
      <c r="AGD237" s="2076"/>
      <c r="AGE237" s="2076"/>
      <c r="AGF237" s="2076"/>
      <c r="AGG237" s="2076"/>
      <c r="AGH237" s="2076"/>
      <c r="AGI237" s="2076"/>
      <c r="AGJ237" s="2076"/>
      <c r="AGK237" s="2076"/>
      <c r="AGL237" s="2076"/>
      <c r="AGM237" s="2076"/>
      <c r="AGN237" s="2076"/>
      <c r="AGO237" s="2076"/>
      <c r="AGP237" s="2076"/>
      <c r="AGQ237" s="2076"/>
      <c r="AGR237" s="2076"/>
      <c r="AGS237" s="2076"/>
      <c r="AGT237" s="2076"/>
      <c r="AGU237" s="2076"/>
      <c r="AGV237" s="2076"/>
      <c r="AGW237" s="2076"/>
      <c r="AGX237" s="2076"/>
      <c r="AGY237" s="2076"/>
      <c r="AGZ237" s="2076"/>
      <c r="AHA237" s="2076"/>
      <c r="AHB237" s="2076"/>
      <c r="AHC237" s="2076"/>
      <c r="AHD237" s="2076"/>
      <c r="AHE237" s="2076"/>
      <c r="AHF237" s="2076"/>
      <c r="AHG237" s="2076"/>
      <c r="AHH237" s="2076"/>
      <c r="AHI237" s="2076"/>
      <c r="AHJ237" s="2076"/>
      <c r="AHK237" s="2076"/>
      <c r="AHL237" s="2076"/>
      <c r="AHM237" s="2076"/>
      <c r="AHN237" s="2076"/>
      <c r="AHO237" s="2076"/>
      <c r="AHP237" s="2076"/>
      <c r="AHQ237" s="2076"/>
      <c r="AHR237" s="2076"/>
      <c r="AHS237" s="2076"/>
      <c r="AHT237" s="2076"/>
      <c r="AHU237" s="2076"/>
      <c r="AHV237" s="2076"/>
      <c r="AHW237" s="2076"/>
      <c r="AHX237" s="2076"/>
      <c r="AHY237" s="2076"/>
      <c r="AHZ237" s="2076"/>
      <c r="AIA237" s="2076"/>
      <c r="AIB237" s="2076"/>
      <c r="AIC237" s="2076"/>
      <c r="AID237" s="2076"/>
      <c r="AIE237" s="2076"/>
      <c r="AIF237" s="2076"/>
      <c r="AIG237" s="2076"/>
      <c r="AIH237" s="2076"/>
      <c r="AII237" s="2076"/>
      <c r="AIJ237" s="2076"/>
      <c r="AIK237" s="2076"/>
      <c r="AIL237" s="2076"/>
      <c r="AIM237" s="2076"/>
      <c r="AIN237" s="2076"/>
      <c r="AIO237" s="2076"/>
      <c r="AIP237" s="2076"/>
      <c r="AIQ237" s="2076"/>
      <c r="AIR237" s="2076"/>
      <c r="AIS237" s="2076"/>
      <c r="AIT237" s="2076"/>
      <c r="AIU237" s="2076"/>
      <c r="AIV237" s="2076"/>
      <c r="AIW237" s="2076"/>
      <c r="AIX237" s="2076"/>
      <c r="AIY237" s="2076"/>
      <c r="AIZ237" s="2076"/>
      <c r="AJA237" s="2076"/>
      <c r="AJB237" s="2076"/>
      <c r="AJC237" s="2076"/>
      <c r="AJD237" s="2076"/>
      <c r="AJE237" s="2076"/>
      <c r="AJF237" s="2076"/>
      <c r="AJG237" s="2076"/>
      <c r="AJH237" s="2076"/>
      <c r="AJI237" s="2076"/>
      <c r="AJJ237" s="2076"/>
      <c r="AJK237" s="2076"/>
      <c r="AJL237" s="2076"/>
      <c r="AJM237" s="2076"/>
      <c r="AJN237" s="2076"/>
      <c r="AJO237" s="2076"/>
      <c r="AJP237" s="2076"/>
      <c r="AJQ237" s="2076"/>
      <c r="AJR237" s="2076"/>
      <c r="AJS237" s="2076"/>
      <c r="AJT237" s="2076"/>
      <c r="AJU237" s="2076"/>
      <c r="AJV237" s="2076"/>
      <c r="AJW237" s="2076"/>
      <c r="AJX237" s="2076"/>
      <c r="AJY237" s="2076"/>
      <c r="AJZ237" s="2076"/>
      <c r="AKA237" s="2076"/>
      <c r="AKB237" s="2076"/>
      <c r="AKC237" s="2076"/>
      <c r="AKD237" s="2076"/>
      <c r="AKE237" s="2076"/>
      <c r="AKF237" s="2076"/>
      <c r="AKG237" s="2076"/>
      <c r="AKH237" s="2076"/>
      <c r="AKI237" s="2076"/>
      <c r="AKJ237" s="2076"/>
      <c r="AKK237" s="2076"/>
      <c r="AKL237" s="2076"/>
      <c r="AKM237" s="2076"/>
      <c r="AKN237" s="2076"/>
      <c r="AKO237" s="2076"/>
      <c r="AKP237" s="2076"/>
      <c r="AKQ237" s="2076"/>
      <c r="AKR237" s="2076"/>
      <c r="AKS237" s="2076"/>
      <c r="AKT237" s="2076"/>
      <c r="AKU237" s="2076"/>
      <c r="AKV237" s="2076"/>
      <c r="AKW237" s="2076"/>
      <c r="AKX237" s="2076"/>
      <c r="AKY237" s="2076"/>
      <c r="AKZ237" s="2076"/>
      <c r="ALA237" s="2076"/>
      <c r="ALB237" s="2076"/>
      <c r="ALC237" s="2076"/>
      <c r="ALD237" s="2076"/>
      <c r="ALE237" s="2076"/>
      <c r="ALF237" s="2076"/>
      <c r="ALG237" s="2076"/>
      <c r="ALH237" s="2076"/>
      <c r="ALI237" s="2076"/>
      <c r="ALJ237" s="2076"/>
      <c r="ALK237" s="2076"/>
      <c r="ALL237" s="2076"/>
      <c r="ALM237" s="2076"/>
      <c r="ALN237" s="2076"/>
      <c r="ALO237" s="2076"/>
      <c r="ALP237" s="2076"/>
      <c r="ALQ237" s="2076"/>
      <c r="ALR237" s="2076"/>
      <c r="ALS237" s="2076"/>
      <c r="ALT237" s="2076"/>
      <c r="ALU237" s="2076"/>
      <c r="ALV237" s="2076"/>
      <c r="ALW237" s="2076"/>
      <c r="ALX237" s="2076"/>
      <c r="ALY237" s="2076"/>
      <c r="ALZ237" s="2076"/>
      <c r="AMA237" s="2076"/>
      <c r="AMB237" s="2076"/>
      <c r="AMC237" s="2076"/>
      <c r="AMD237" s="2076"/>
      <c r="AME237" s="2076"/>
      <c r="AMF237" s="2076"/>
      <c r="AMG237" s="2076"/>
      <c r="AMH237" s="2076"/>
      <c r="AMI237" s="2076"/>
      <c r="AMJ237" s="2076"/>
      <c r="AMK237" s="2076"/>
      <c r="AML237" s="2076"/>
      <c r="AMM237" s="2076"/>
      <c r="AMN237" s="2076"/>
      <c r="AMO237" s="2076"/>
      <c r="AMP237" s="2076"/>
      <c r="AMQ237" s="2076"/>
      <c r="AMR237" s="2076"/>
      <c r="AMS237" s="2076"/>
      <c r="AMT237" s="2076"/>
      <c r="AMU237" s="2076"/>
      <c r="AMV237" s="2076"/>
      <c r="AMW237" s="2076"/>
      <c r="AMX237" s="2076"/>
      <c r="AMY237" s="2076"/>
      <c r="AMZ237" s="2076"/>
      <c r="ANA237" s="2076"/>
      <c r="ANB237" s="2076"/>
      <c r="ANC237" s="2076"/>
      <c r="AND237" s="2076"/>
      <c r="ANE237" s="2076"/>
      <c r="ANF237" s="2076"/>
      <c r="ANG237" s="2076"/>
      <c r="ANH237" s="2076"/>
      <c r="ANI237" s="2076"/>
      <c r="ANJ237" s="2076"/>
      <c r="ANK237" s="2076"/>
      <c r="ANL237" s="2076"/>
      <c r="ANM237" s="2076"/>
      <c r="ANN237" s="2076"/>
      <c r="ANO237" s="2076"/>
      <c r="ANP237" s="2076"/>
      <c r="ANQ237" s="2076"/>
      <c r="ANR237" s="2076"/>
      <c r="ANS237" s="2076"/>
      <c r="ANT237" s="2076"/>
      <c r="ANU237" s="2076"/>
      <c r="ANV237" s="2076"/>
      <c r="ANW237" s="2076"/>
      <c r="ANX237" s="2076"/>
      <c r="ANY237" s="2076"/>
      <c r="ANZ237" s="2076"/>
      <c r="AOA237" s="2076"/>
      <c r="AOB237" s="2076"/>
      <c r="AOC237" s="2076"/>
      <c r="AOD237" s="2076"/>
      <c r="AOE237" s="2076"/>
      <c r="AOF237" s="2076"/>
      <c r="AOG237" s="2076"/>
      <c r="AOH237" s="2076"/>
      <c r="AOI237" s="2076"/>
      <c r="AOJ237" s="2076"/>
      <c r="AOK237" s="2076"/>
      <c r="AOL237" s="2076"/>
      <c r="AOM237" s="2076"/>
      <c r="AON237" s="2076"/>
      <c r="AOO237" s="2076"/>
      <c r="AOP237" s="2076"/>
      <c r="AOQ237" s="2076"/>
      <c r="AOR237" s="2076"/>
      <c r="AOS237" s="2076"/>
      <c r="AOT237" s="2076"/>
      <c r="AOU237" s="2076"/>
      <c r="AOV237" s="2076"/>
      <c r="AOW237" s="2076"/>
      <c r="AOX237" s="2076"/>
      <c r="AOY237" s="2076"/>
      <c r="AOZ237" s="2076"/>
      <c r="APA237" s="2076"/>
      <c r="APB237" s="2076"/>
      <c r="APC237" s="2076"/>
      <c r="APD237" s="2076"/>
      <c r="APE237" s="2076"/>
      <c r="APF237" s="2076"/>
      <c r="APG237" s="2076"/>
      <c r="APH237" s="2076"/>
      <c r="API237" s="2076"/>
      <c r="APJ237" s="2076"/>
      <c r="APK237" s="2076"/>
      <c r="APL237" s="2076"/>
      <c r="APM237" s="2076"/>
      <c r="APN237" s="2076"/>
      <c r="APO237" s="2076"/>
      <c r="APP237" s="2076"/>
      <c r="APQ237" s="2076"/>
      <c r="APR237" s="2076"/>
      <c r="APS237" s="2076"/>
      <c r="APT237" s="2076"/>
      <c r="APU237" s="2076"/>
      <c r="APV237" s="2076"/>
      <c r="APW237" s="2076"/>
      <c r="APX237" s="2076"/>
      <c r="APY237" s="2076"/>
      <c r="APZ237" s="2076"/>
      <c r="AQA237" s="2076"/>
      <c r="AQB237" s="2076"/>
      <c r="AQC237" s="2076"/>
      <c r="AQD237" s="2076"/>
      <c r="AQE237" s="2076"/>
      <c r="AQF237" s="2076"/>
      <c r="AQG237" s="2076"/>
      <c r="AQH237" s="2076"/>
      <c r="AQI237" s="2076"/>
      <c r="AQJ237" s="2076"/>
      <c r="AQK237" s="2076"/>
      <c r="AQL237" s="2076"/>
      <c r="AQM237" s="2076"/>
      <c r="AQN237" s="2076"/>
      <c r="AQO237" s="2076"/>
      <c r="AQP237" s="2076"/>
      <c r="AQQ237" s="2076"/>
      <c r="AQR237" s="2076"/>
      <c r="AQS237" s="2076"/>
      <c r="AQT237" s="2076"/>
      <c r="AQU237" s="2076"/>
      <c r="AQV237" s="2076"/>
      <c r="AQW237" s="2076"/>
      <c r="AQX237" s="2076"/>
      <c r="AQY237" s="2076"/>
      <c r="AQZ237" s="2076"/>
      <c r="ARA237" s="2076"/>
      <c r="ARB237" s="2076"/>
      <c r="ARC237" s="2076"/>
      <c r="ARD237" s="2076"/>
      <c r="ARE237" s="2076"/>
      <c r="ARF237" s="2076"/>
      <c r="ARG237" s="2076"/>
      <c r="ARH237" s="2076"/>
      <c r="ARI237" s="2076"/>
      <c r="ARJ237" s="2076"/>
      <c r="ARK237" s="2076"/>
      <c r="ARL237" s="2076"/>
      <c r="ARM237" s="2076"/>
      <c r="ARN237" s="2076"/>
      <c r="ARO237" s="2076"/>
      <c r="ARP237" s="2076"/>
      <c r="ARQ237" s="2076"/>
      <c r="ARR237" s="2076"/>
      <c r="ARS237" s="2076"/>
      <c r="ART237" s="2076"/>
      <c r="ARU237" s="2076"/>
      <c r="ARV237" s="2076"/>
      <c r="ARW237" s="2076"/>
      <c r="ARX237" s="2076"/>
      <c r="ARY237" s="2076"/>
      <c r="ARZ237" s="2076"/>
      <c r="ASA237" s="2076"/>
      <c r="ASB237" s="2076"/>
      <c r="ASC237" s="2076"/>
      <c r="ASD237" s="2076"/>
      <c r="ASE237" s="2076"/>
      <c r="ASF237" s="2076"/>
      <c r="ASG237" s="2076"/>
      <c r="ASH237" s="2076"/>
      <c r="ASI237" s="2076"/>
      <c r="ASJ237" s="2076"/>
      <c r="ASK237" s="2076"/>
      <c r="ASL237" s="2076"/>
      <c r="ASM237" s="2076"/>
      <c r="ASN237" s="2076"/>
      <c r="ASO237" s="2076"/>
      <c r="ASP237" s="2076"/>
      <c r="ASQ237" s="2076"/>
      <c r="ASR237" s="2076"/>
      <c r="ASS237" s="2076"/>
      <c r="AST237" s="2076"/>
      <c r="ASU237" s="2076"/>
      <c r="ASV237" s="2076"/>
      <c r="ASW237" s="2076"/>
      <c r="ASX237" s="2076"/>
      <c r="ASY237" s="2076"/>
      <c r="ASZ237" s="2076"/>
      <c r="ATA237" s="2076"/>
      <c r="ATB237" s="2076"/>
      <c r="ATC237" s="2076"/>
      <c r="ATD237" s="2076"/>
      <c r="ATE237" s="2076"/>
      <c r="ATF237" s="2076"/>
      <c r="ATG237" s="2076"/>
      <c r="ATH237" s="2076"/>
      <c r="ATI237" s="2076"/>
      <c r="ATJ237" s="2076"/>
      <c r="ATK237" s="2076"/>
      <c r="ATL237" s="2076"/>
      <c r="ATM237" s="2076"/>
      <c r="ATN237" s="2076"/>
      <c r="ATO237" s="2076"/>
      <c r="ATP237" s="2076"/>
      <c r="ATQ237" s="2076"/>
      <c r="ATR237" s="2076"/>
      <c r="ATS237" s="2076"/>
      <c r="ATT237" s="2076"/>
      <c r="ATU237" s="2076"/>
      <c r="ATV237" s="2076"/>
      <c r="ATW237" s="2076"/>
      <c r="ATX237" s="2076"/>
      <c r="ATY237" s="2076"/>
      <c r="ATZ237" s="2076"/>
      <c r="AUA237" s="2076"/>
      <c r="AUB237" s="2076"/>
      <c r="AUC237" s="2076"/>
      <c r="AUD237" s="2076"/>
      <c r="AUE237" s="2076"/>
      <c r="AUF237" s="2076"/>
      <c r="AUG237" s="2076"/>
      <c r="AUH237" s="2076"/>
      <c r="AUI237" s="2076"/>
      <c r="AUJ237" s="2076"/>
      <c r="AUK237" s="2076"/>
      <c r="AUL237" s="2076"/>
      <c r="AUM237" s="2076"/>
      <c r="AUN237" s="2076"/>
      <c r="AUO237" s="2076"/>
      <c r="AUP237" s="2076"/>
      <c r="AUQ237" s="2076"/>
      <c r="AUR237" s="2076"/>
      <c r="AUS237" s="2076"/>
      <c r="AUT237" s="2076"/>
      <c r="AUU237" s="2076"/>
      <c r="AUV237" s="2076"/>
      <c r="AUW237" s="2076"/>
      <c r="AUX237" s="2076"/>
      <c r="AUY237" s="2076"/>
      <c r="AUZ237" s="2076"/>
      <c r="AVA237" s="2076"/>
      <c r="AVB237" s="2076"/>
      <c r="AVC237" s="2076"/>
      <c r="AVD237" s="2076"/>
      <c r="AVE237" s="2076"/>
      <c r="AVF237" s="2076"/>
      <c r="AVG237" s="2076"/>
      <c r="AVH237" s="2076"/>
      <c r="AVI237" s="2076"/>
      <c r="AVJ237" s="2076"/>
      <c r="AVK237" s="2076"/>
      <c r="AVL237" s="2076"/>
      <c r="AVM237" s="2076"/>
      <c r="AVN237" s="2076"/>
      <c r="AVO237" s="2076"/>
      <c r="AVP237" s="2076"/>
      <c r="AVQ237" s="2076"/>
      <c r="AVR237" s="2076"/>
      <c r="AVS237" s="2076"/>
      <c r="AVT237" s="2076"/>
      <c r="AVU237" s="2076"/>
      <c r="AVV237" s="2076"/>
      <c r="AVW237" s="2076"/>
      <c r="AVX237" s="2076"/>
      <c r="AVY237" s="2076"/>
      <c r="AVZ237" s="2076"/>
      <c r="AWA237" s="2076"/>
      <c r="AWB237" s="2076"/>
      <c r="AWC237" s="2076"/>
      <c r="AWD237" s="2076"/>
      <c r="AWE237" s="2076"/>
      <c r="AWF237" s="2076"/>
      <c r="AWG237" s="2076"/>
      <c r="AWH237" s="2076"/>
      <c r="AWI237" s="2076"/>
      <c r="AWJ237" s="2076"/>
      <c r="AWK237" s="2076"/>
      <c r="AWL237" s="2076"/>
      <c r="AWM237" s="2076"/>
      <c r="AWN237" s="2076"/>
      <c r="AWO237" s="2076"/>
      <c r="AWP237" s="2076"/>
      <c r="AWQ237" s="2076"/>
      <c r="AWR237" s="2076"/>
      <c r="AWS237" s="2076"/>
      <c r="AWT237" s="2076"/>
      <c r="AWU237" s="2076"/>
      <c r="AWV237" s="2076"/>
      <c r="AWW237" s="2076"/>
      <c r="AWX237" s="2076"/>
      <c r="AWY237" s="2076"/>
      <c r="AWZ237" s="2076"/>
      <c r="AXA237" s="2076"/>
      <c r="AXB237" s="2076"/>
      <c r="AXC237" s="2076"/>
      <c r="AXD237" s="2076"/>
      <c r="AXE237" s="2076"/>
      <c r="AXF237" s="2076"/>
      <c r="AXG237" s="2076"/>
      <c r="AXH237" s="2076"/>
      <c r="AXI237" s="2076"/>
      <c r="AXJ237" s="2076"/>
    </row>
    <row r="238" spans="1:1310" s="2077" customFormat="1" ht="56.25" customHeight="1">
      <c r="A238" s="2092"/>
      <c r="B238" s="3230" t="s">
        <v>2396</v>
      </c>
      <c r="C238" s="3230"/>
      <c r="D238" s="3230"/>
      <c r="E238" s="3230"/>
      <c r="F238" s="2086"/>
      <c r="G238" s="3231" t="s">
        <v>2396</v>
      </c>
      <c r="H238" s="3231"/>
      <c r="I238" s="3231"/>
      <c r="J238" s="2087"/>
      <c r="K238" s="3232" t="s">
        <v>2397</v>
      </c>
      <c r="L238" s="3232"/>
      <c r="M238" s="3232"/>
      <c r="N238" s="2087"/>
      <c r="O238" s="3233" t="s">
        <v>2398</v>
      </c>
      <c r="P238" s="3233"/>
      <c r="Q238" s="3233"/>
      <c r="R238" s="755"/>
      <c r="S238" s="755"/>
      <c r="T238" s="755"/>
      <c r="U238" s="755"/>
      <c r="V238" s="755"/>
      <c r="W238" s="755"/>
      <c r="X238" s="755"/>
      <c r="Y238" s="755"/>
      <c r="Z238" s="755"/>
      <c r="AA238" s="755"/>
      <c r="AB238" s="755"/>
      <c r="AC238" s="755"/>
      <c r="AD238" s="2075"/>
      <c r="AE238" s="2075"/>
      <c r="AF238" s="2075"/>
      <c r="AG238" s="2075"/>
      <c r="AH238" s="2075"/>
      <c r="AI238" s="2075"/>
      <c r="AJ238" s="2075"/>
      <c r="AK238" s="2075"/>
      <c r="AL238" s="2075"/>
      <c r="AM238" s="2075"/>
      <c r="AN238" s="2075"/>
      <c r="AO238" s="2075"/>
      <c r="AP238" s="2075"/>
      <c r="AQ238" s="2075"/>
      <c r="AR238" s="2075"/>
      <c r="AS238" s="2075"/>
      <c r="AT238" s="2075"/>
      <c r="AU238" s="2075"/>
      <c r="AV238" s="2076"/>
      <c r="AW238" s="2076"/>
      <c r="AX238" s="2076"/>
      <c r="AY238" s="2076"/>
      <c r="AZ238" s="2076"/>
      <c r="BA238" s="2076"/>
      <c r="BB238" s="2076"/>
      <c r="BC238" s="2076"/>
      <c r="BD238" s="2076"/>
      <c r="BE238" s="2076"/>
      <c r="BF238" s="2076"/>
      <c r="BG238" s="2076"/>
      <c r="BH238" s="2076"/>
      <c r="BI238" s="2076"/>
      <c r="BJ238" s="2076"/>
      <c r="BK238" s="2076"/>
      <c r="BL238" s="2076"/>
      <c r="BM238" s="2076"/>
      <c r="BN238" s="2076"/>
      <c r="BO238" s="2076"/>
      <c r="BP238" s="2076"/>
      <c r="BQ238" s="2076"/>
      <c r="BR238" s="2076"/>
      <c r="BS238" s="2076"/>
      <c r="BT238" s="2076"/>
      <c r="BU238" s="2076"/>
      <c r="BV238" s="2076"/>
      <c r="BW238" s="2076"/>
      <c r="BX238" s="2076"/>
      <c r="BY238" s="2076"/>
      <c r="BZ238" s="2076"/>
      <c r="CA238" s="2076"/>
      <c r="CB238" s="2076"/>
      <c r="CC238" s="2076"/>
      <c r="CD238" s="2076"/>
      <c r="CE238" s="2076"/>
      <c r="CF238" s="2076"/>
      <c r="CG238" s="2076"/>
      <c r="CH238" s="2076"/>
      <c r="CI238" s="2076"/>
      <c r="CJ238" s="2076"/>
      <c r="CK238" s="2076"/>
      <c r="CL238" s="2076"/>
      <c r="CM238" s="2076"/>
      <c r="CN238" s="2076"/>
      <c r="CO238" s="2076"/>
      <c r="CP238" s="2076"/>
      <c r="CQ238" s="2076"/>
      <c r="CR238" s="2076"/>
      <c r="CS238" s="2076"/>
      <c r="CT238" s="2076"/>
      <c r="CU238" s="2076"/>
      <c r="CV238" s="2076"/>
      <c r="CW238" s="2076"/>
      <c r="CX238" s="2076"/>
      <c r="CY238" s="2076"/>
      <c r="CZ238" s="2076"/>
      <c r="DA238" s="2076"/>
      <c r="DB238" s="2076"/>
      <c r="DC238" s="2076"/>
      <c r="DD238" s="2076"/>
      <c r="DE238" s="2076"/>
      <c r="DF238" s="2076"/>
      <c r="DG238" s="2076"/>
      <c r="DH238" s="2076"/>
      <c r="DI238" s="2076"/>
      <c r="DJ238" s="2076"/>
      <c r="DK238" s="2076"/>
      <c r="DL238" s="2076"/>
      <c r="DM238" s="2076"/>
      <c r="DN238" s="2076"/>
      <c r="DO238" s="2076"/>
      <c r="DP238" s="2076"/>
      <c r="DQ238" s="2076"/>
      <c r="DR238" s="2076"/>
      <c r="DS238" s="2076"/>
      <c r="DT238" s="2076"/>
      <c r="DU238" s="2076"/>
      <c r="DV238" s="2076"/>
      <c r="DW238" s="2076"/>
      <c r="DX238" s="2076"/>
      <c r="DY238" s="2076"/>
      <c r="DZ238" s="2076"/>
      <c r="EA238" s="2076"/>
      <c r="EB238" s="2076"/>
      <c r="EC238" s="2076"/>
      <c r="ED238" s="2076"/>
      <c r="EE238" s="2076"/>
      <c r="EF238" s="2076"/>
      <c r="EG238" s="2076"/>
      <c r="EH238" s="2076"/>
      <c r="EI238" s="2076"/>
      <c r="EJ238" s="2076"/>
      <c r="EK238" s="2076"/>
      <c r="EL238" s="2076"/>
      <c r="EM238" s="2076"/>
      <c r="EN238" s="2076"/>
      <c r="EO238" s="2076"/>
      <c r="EP238" s="2076"/>
      <c r="EQ238" s="2076"/>
      <c r="ER238" s="2076"/>
      <c r="ES238" s="2076"/>
      <c r="ET238" s="2076"/>
      <c r="EU238" s="2076"/>
      <c r="EV238" s="2076"/>
      <c r="EW238" s="2076"/>
      <c r="EX238" s="2076"/>
      <c r="EY238" s="2076"/>
      <c r="EZ238" s="2076"/>
      <c r="FA238" s="2076"/>
      <c r="FB238" s="2076"/>
      <c r="FC238" s="2076"/>
      <c r="FD238" s="2076"/>
      <c r="FE238" s="2076"/>
      <c r="FF238" s="2076"/>
      <c r="FG238" s="2076"/>
      <c r="FH238" s="2076"/>
      <c r="FI238" s="2076"/>
      <c r="FJ238" s="2076"/>
      <c r="FK238" s="2076"/>
      <c r="FL238" s="2076"/>
      <c r="FM238" s="2076"/>
      <c r="FN238" s="2076"/>
      <c r="FO238" s="2076"/>
      <c r="FP238" s="2076"/>
      <c r="FQ238" s="2076"/>
      <c r="FR238" s="2076"/>
      <c r="FS238" s="2076"/>
      <c r="FT238" s="2076"/>
      <c r="FU238" s="2076"/>
      <c r="FV238" s="2076"/>
      <c r="FW238" s="2076"/>
      <c r="FX238" s="2076"/>
      <c r="FY238" s="2076"/>
      <c r="FZ238" s="2076"/>
      <c r="GA238" s="2076"/>
      <c r="GB238" s="2076"/>
      <c r="GC238" s="2076"/>
      <c r="GD238" s="2076"/>
      <c r="GE238" s="2076"/>
      <c r="GF238" s="2076"/>
      <c r="GG238" s="2076"/>
      <c r="GH238" s="2076"/>
      <c r="GI238" s="2076"/>
      <c r="GJ238" s="2076"/>
      <c r="GK238" s="2076"/>
      <c r="GL238" s="2076"/>
      <c r="GM238" s="2076"/>
      <c r="GN238" s="2076"/>
      <c r="GO238" s="2076"/>
      <c r="GP238" s="2076"/>
      <c r="GQ238" s="2076"/>
      <c r="GR238" s="2076"/>
      <c r="GS238" s="2076"/>
      <c r="GT238" s="2076"/>
      <c r="GU238" s="2076"/>
      <c r="GV238" s="2076"/>
      <c r="GW238" s="2076"/>
      <c r="GX238" s="2076"/>
      <c r="GY238" s="2076"/>
      <c r="GZ238" s="2076"/>
      <c r="HA238" s="2076"/>
      <c r="HB238" s="2076"/>
      <c r="HC238" s="2076"/>
      <c r="HD238" s="2076"/>
      <c r="HE238" s="2076"/>
      <c r="HF238" s="2076"/>
      <c r="HG238" s="2076"/>
      <c r="HH238" s="2076"/>
      <c r="HI238" s="2076"/>
      <c r="HJ238" s="2076"/>
      <c r="HK238" s="2076"/>
      <c r="HL238" s="2076"/>
      <c r="HM238" s="2076"/>
      <c r="HN238" s="2076"/>
      <c r="HO238" s="2076"/>
      <c r="HP238" s="2076"/>
      <c r="HQ238" s="2076"/>
      <c r="HR238" s="2076"/>
      <c r="HS238" s="2076"/>
      <c r="HT238" s="2076"/>
      <c r="HU238" s="2076"/>
      <c r="HV238" s="2076"/>
      <c r="HW238" s="2076"/>
      <c r="HX238" s="2076"/>
      <c r="HY238" s="2076"/>
      <c r="HZ238" s="2076"/>
      <c r="IA238" s="2076"/>
      <c r="IB238" s="2076"/>
      <c r="IC238" s="2076"/>
      <c r="ID238" s="2076"/>
      <c r="IE238" s="2076"/>
      <c r="IF238" s="2076"/>
      <c r="IG238" s="2076"/>
      <c r="IH238" s="2076"/>
      <c r="II238" s="2076"/>
      <c r="IJ238" s="2076"/>
      <c r="IK238" s="2076"/>
      <c r="IL238" s="2076"/>
      <c r="IM238" s="2076"/>
      <c r="IN238" s="2076"/>
      <c r="IO238" s="2076"/>
      <c r="IP238" s="2076"/>
      <c r="IQ238" s="2076"/>
      <c r="IR238" s="2076"/>
      <c r="IS238" s="2076"/>
      <c r="IT238" s="2076"/>
      <c r="IU238" s="2076"/>
      <c r="IV238" s="2076"/>
      <c r="IW238" s="2076"/>
      <c r="IX238" s="2076"/>
      <c r="IY238" s="2076"/>
      <c r="IZ238" s="2076"/>
      <c r="JA238" s="2076"/>
      <c r="JB238" s="2076"/>
      <c r="JC238" s="2076"/>
      <c r="JD238" s="2076"/>
      <c r="JE238" s="2076"/>
      <c r="JF238" s="2076"/>
      <c r="JG238" s="2076"/>
      <c r="JH238" s="2076"/>
      <c r="JI238" s="2076"/>
      <c r="JJ238" s="2076"/>
      <c r="JK238" s="2076"/>
      <c r="JL238" s="2076"/>
      <c r="JM238" s="2076"/>
      <c r="JN238" s="2076"/>
      <c r="JO238" s="2076"/>
      <c r="JP238" s="2076"/>
      <c r="JQ238" s="2076"/>
      <c r="JR238" s="2076"/>
      <c r="JS238" s="2076"/>
      <c r="JT238" s="2076"/>
      <c r="JU238" s="2076"/>
      <c r="JV238" s="2076"/>
      <c r="JW238" s="2076"/>
      <c r="JX238" s="2076"/>
      <c r="JY238" s="2076"/>
      <c r="JZ238" s="2076"/>
      <c r="KA238" s="2076"/>
      <c r="KB238" s="2076"/>
      <c r="KC238" s="2076"/>
      <c r="KD238" s="2076"/>
      <c r="KE238" s="2076"/>
      <c r="KF238" s="2076"/>
      <c r="KG238" s="2076"/>
      <c r="KH238" s="2076"/>
      <c r="KI238" s="2076"/>
      <c r="KJ238" s="2076"/>
      <c r="KK238" s="2076"/>
      <c r="KL238" s="2076"/>
      <c r="KM238" s="2076"/>
      <c r="KN238" s="2076"/>
      <c r="KO238" s="2076"/>
      <c r="KP238" s="2076"/>
      <c r="KQ238" s="2076"/>
      <c r="KR238" s="2076"/>
      <c r="KS238" s="2076"/>
      <c r="KT238" s="2076"/>
      <c r="KU238" s="2076"/>
      <c r="KV238" s="2076"/>
      <c r="KW238" s="2076"/>
      <c r="KX238" s="2076"/>
      <c r="KY238" s="2076"/>
      <c r="KZ238" s="2076"/>
      <c r="LA238" s="2076"/>
      <c r="LB238" s="2076"/>
      <c r="LC238" s="2076"/>
      <c r="LD238" s="2076"/>
      <c r="LE238" s="2076"/>
      <c r="LF238" s="2076"/>
      <c r="LG238" s="2076"/>
      <c r="LH238" s="2076"/>
      <c r="LI238" s="2076"/>
      <c r="LJ238" s="2076"/>
      <c r="LK238" s="2076"/>
      <c r="LL238" s="2076"/>
      <c r="LM238" s="2076"/>
      <c r="LN238" s="2076"/>
      <c r="LO238" s="2076"/>
      <c r="LP238" s="2076"/>
      <c r="LQ238" s="2076"/>
      <c r="LR238" s="2076"/>
      <c r="LS238" s="2076"/>
      <c r="LT238" s="2076"/>
      <c r="LU238" s="2076"/>
      <c r="LV238" s="2076"/>
      <c r="LW238" s="2076"/>
      <c r="LX238" s="2076"/>
      <c r="LY238" s="2076"/>
      <c r="LZ238" s="2076"/>
      <c r="MA238" s="2076"/>
      <c r="MB238" s="2076"/>
      <c r="MC238" s="2076"/>
      <c r="MD238" s="2076"/>
      <c r="ME238" s="2076"/>
      <c r="MF238" s="2076"/>
      <c r="MG238" s="2076"/>
      <c r="MH238" s="2076"/>
      <c r="MI238" s="2076"/>
      <c r="MJ238" s="2076"/>
      <c r="MK238" s="2076"/>
      <c r="ML238" s="2076"/>
      <c r="MM238" s="2076"/>
      <c r="MN238" s="2076"/>
      <c r="MO238" s="2076"/>
      <c r="MP238" s="2076"/>
      <c r="MQ238" s="2076"/>
      <c r="MR238" s="2076"/>
      <c r="MS238" s="2076"/>
      <c r="MT238" s="2076"/>
      <c r="MU238" s="2076"/>
      <c r="MV238" s="2076"/>
      <c r="MW238" s="2076"/>
      <c r="MX238" s="2076"/>
      <c r="MY238" s="2076"/>
      <c r="MZ238" s="2076"/>
      <c r="NA238" s="2076"/>
      <c r="NB238" s="2076"/>
      <c r="NC238" s="2076"/>
      <c r="ND238" s="2076"/>
      <c r="NE238" s="2076"/>
      <c r="NF238" s="2076"/>
      <c r="NG238" s="2076"/>
      <c r="NH238" s="2076"/>
      <c r="NI238" s="2076"/>
      <c r="NJ238" s="2076"/>
      <c r="NK238" s="2076"/>
      <c r="NL238" s="2076"/>
      <c r="NM238" s="2076"/>
      <c r="NN238" s="2076"/>
      <c r="NO238" s="2076"/>
      <c r="NP238" s="2076"/>
      <c r="NQ238" s="2076"/>
      <c r="NR238" s="2076"/>
      <c r="NS238" s="2076"/>
      <c r="NT238" s="2076"/>
      <c r="NU238" s="2076"/>
      <c r="NV238" s="2076"/>
      <c r="NW238" s="2076"/>
      <c r="NX238" s="2076"/>
      <c r="NY238" s="2076"/>
      <c r="NZ238" s="2076"/>
      <c r="OA238" s="2076"/>
      <c r="OB238" s="2076"/>
      <c r="OC238" s="2076"/>
      <c r="OD238" s="2076"/>
      <c r="OE238" s="2076"/>
      <c r="OF238" s="2076"/>
      <c r="OG238" s="2076"/>
      <c r="OH238" s="2076"/>
      <c r="OI238" s="2076"/>
      <c r="OJ238" s="2076"/>
      <c r="OK238" s="2076"/>
      <c r="OL238" s="2076"/>
      <c r="OM238" s="2076"/>
      <c r="ON238" s="2076"/>
      <c r="OO238" s="2076"/>
      <c r="OP238" s="2076"/>
      <c r="OQ238" s="2076"/>
      <c r="OR238" s="2076"/>
      <c r="OS238" s="2076"/>
      <c r="OT238" s="2076"/>
      <c r="OU238" s="2076"/>
      <c r="OV238" s="2076"/>
      <c r="OW238" s="2076"/>
      <c r="OX238" s="2076"/>
      <c r="OY238" s="2076"/>
      <c r="OZ238" s="2076"/>
      <c r="PA238" s="2076"/>
      <c r="PB238" s="2076"/>
      <c r="PC238" s="2076"/>
      <c r="PD238" s="2076"/>
      <c r="PE238" s="2076"/>
      <c r="PF238" s="2076"/>
      <c r="PG238" s="2076"/>
      <c r="PH238" s="2076"/>
      <c r="PI238" s="2076"/>
      <c r="PJ238" s="2076"/>
      <c r="PK238" s="2076"/>
      <c r="PL238" s="2076"/>
      <c r="PM238" s="2076"/>
      <c r="PN238" s="2076"/>
      <c r="PO238" s="2076"/>
      <c r="PP238" s="2076"/>
      <c r="PQ238" s="2076"/>
      <c r="PR238" s="2076"/>
      <c r="PS238" s="2076"/>
      <c r="PT238" s="2076"/>
      <c r="PU238" s="2076"/>
      <c r="PV238" s="2076"/>
      <c r="PW238" s="2076"/>
      <c r="PX238" s="2076"/>
      <c r="PY238" s="2076"/>
      <c r="PZ238" s="2076"/>
      <c r="QA238" s="2076"/>
      <c r="QB238" s="2076"/>
      <c r="QC238" s="2076"/>
      <c r="QD238" s="2076"/>
      <c r="QE238" s="2076"/>
      <c r="QF238" s="2076"/>
      <c r="QG238" s="2076"/>
      <c r="QH238" s="2076"/>
      <c r="QI238" s="2076"/>
      <c r="QJ238" s="2076"/>
      <c r="QK238" s="2076"/>
      <c r="QL238" s="2076"/>
      <c r="QM238" s="2076"/>
      <c r="QN238" s="2076"/>
      <c r="QO238" s="2076"/>
      <c r="QP238" s="2076"/>
      <c r="QQ238" s="2076"/>
      <c r="QR238" s="2076"/>
      <c r="QS238" s="2076"/>
      <c r="QT238" s="2076"/>
      <c r="QU238" s="2076"/>
      <c r="QV238" s="2076"/>
      <c r="QW238" s="2076"/>
      <c r="QX238" s="2076"/>
      <c r="QY238" s="2076"/>
      <c r="QZ238" s="2076"/>
      <c r="RA238" s="2076"/>
      <c r="RB238" s="2076"/>
      <c r="RC238" s="2076"/>
      <c r="RD238" s="2076"/>
      <c r="RE238" s="2076"/>
      <c r="RF238" s="2076"/>
      <c r="RG238" s="2076"/>
      <c r="RH238" s="2076"/>
      <c r="RI238" s="2076"/>
      <c r="RJ238" s="2076"/>
      <c r="RK238" s="2076"/>
      <c r="RL238" s="2076"/>
      <c r="RM238" s="2076"/>
      <c r="RN238" s="2076"/>
      <c r="RO238" s="2076"/>
      <c r="RP238" s="2076"/>
      <c r="RQ238" s="2076"/>
      <c r="RR238" s="2076"/>
      <c r="RS238" s="2076"/>
      <c r="RT238" s="2076"/>
      <c r="RU238" s="2076"/>
      <c r="RV238" s="2076"/>
      <c r="RW238" s="2076"/>
      <c r="RX238" s="2076"/>
      <c r="RY238" s="2076"/>
      <c r="RZ238" s="2076"/>
      <c r="SA238" s="2076"/>
      <c r="SB238" s="2076"/>
      <c r="SC238" s="2076"/>
      <c r="SD238" s="2076"/>
      <c r="SE238" s="2076"/>
      <c r="SF238" s="2076"/>
      <c r="SG238" s="2076"/>
      <c r="SH238" s="2076"/>
      <c r="SI238" s="2076"/>
      <c r="SJ238" s="2076"/>
      <c r="SK238" s="2076"/>
      <c r="SL238" s="2076"/>
      <c r="SM238" s="2076"/>
      <c r="SN238" s="2076"/>
      <c r="SO238" s="2076"/>
      <c r="SP238" s="2076"/>
      <c r="SQ238" s="2076"/>
      <c r="SR238" s="2076"/>
      <c r="SS238" s="2076"/>
      <c r="ST238" s="2076"/>
      <c r="SU238" s="2076"/>
      <c r="SV238" s="2076"/>
      <c r="SW238" s="2076"/>
      <c r="SX238" s="2076"/>
      <c r="SY238" s="2076"/>
      <c r="SZ238" s="2076"/>
      <c r="TA238" s="2076"/>
      <c r="TB238" s="2076"/>
      <c r="TC238" s="2076"/>
      <c r="TD238" s="2076"/>
      <c r="TE238" s="2076"/>
      <c r="TF238" s="2076"/>
      <c r="TG238" s="2076"/>
      <c r="TH238" s="2076"/>
      <c r="TI238" s="2076"/>
      <c r="TJ238" s="2076"/>
      <c r="TK238" s="2076"/>
      <c r="TL238" s="2076"/>
      <c r="TM238" s="2076"/>
      <c r="TN238" s="2076"/>
      <c r="TO238" s="2076"/>
      <c r="TP238" s="2076"/>
      <c r="TQ238" s="2076"/>
      <c r="TR238" s="2076"/>
      <c r="TS238" s="2076"/>
      <c r="TT238" s="2076"/>
      <c r="TU238" s="2076"/>
      <c r="TV238" s="2076"/>
      <c r="TW238" s="2076"/>
      <c r="TX238" s="2076"/>
      <c r="TY238" s="2076"/>
      <c r="TZ238" s="2076"/>
      <c r="UA238" s="2076"/>
      <c r="UB238" s="2076"/>
      <c r="UC238" s="2076"/>
      <c r="UD238" s="2076"/>
      <c r="UE238" s="2076"/>
      <c r="UF238" s="2076"/>
      <c r="UG238" s="2076"/>
      <c r="UH238" s="2076"/>
      <c r="UI238" s="2076"/>
      <c r="UJ238" s="2076"/>
      <c r="UK238" s="2076"/>
      <c r="UL238" s="2076"/>
      <c r="UM238" s="2076"/>
      <c r="UN238" s="2076"/>
      <c r="UO238" s="2076"/>
      <c r="UP238" s="2076"/>
      <c r="UQ238" s="2076"/>
      <c r="UR238" s="2076"/>
      <c r="US238" s="2076"/>
      <c r="UT238" s="2076"/>
      <c r="UU238" s="2076"/>
      <c r="UV238" s="2076"/>
      <c r="UW238" s="2076"/>
      <c r="UX238" s="2076"/>
      <c r="UY238" s="2076"/>
      <c r="UZ238" s="2076"/>
      <c r="VA238" s="2076"/>
      <c r="VB238" s="2076"/>
      <c r="VC238" s="2076"/>
      <c r="VD238" s="2076"/>
      <c r="VE238" s="2076"/>
      <c r="VF238" s="2076"/>
      <c r="VG238" s="2076"/>
      <c r="VH238" s="2076"/>
      <c r="VI238" s="2076"/>
      <c r="VJ238" s="2076"/>
      <c r="VK238" s="2076"/>
      <c r="VL238" s="2076"/>
      <c r="VM238" s="2076"/>
      <c r="VN238" s="2076"/>
      <c r="VO238" s="2076"/>
      <c r="VP238" s="2076"/>
      <c r="VQ238" s="2076"/>
      <c r="VR238" s="2076"/>
      <c r="VS238" s="2076"/>
      <c r="VT238" s="2076"/>
      <c r="VU238" s="2076"/>
      <c r="VV238" s="2076"/>
      <c r="VW238" s="2076"/>
      <c r="VX238" s="2076"/>
      <c r="VY238" s="2076"/>
      <c r="VZ238" s="2076"/>
      <c r="WA238" s="2076"/>
      <c r="WB238" s="2076"/>
      <c r="WC238" s="2076"/>
      <c r="WD238" s="2076"/>
      <c r="WE238" s="2076"/>
      <c r="WF238" s="2076"/>
      <c r="WG238" s="2076"/>
      <c r="WH238" s="2076"/>
      <c r="WI238" s="2076"/>
      <c r="WJ238" s="2076"/>
      <c r="WK238" s="2076"/>
      <c r="WL238" s="2076"/>
      <c r="WM238" s="2076"/>
      <c r="WN238" s="2076"/>
      <c r="WO238" s="2076"/>
      <c r="WP238" s="2076"/>
      <c r="WQ238" s="2076"/>
      <c r="WR238" s="2076"/>
      <c r="WS238" s="2076"/>
      <c r="WT238" s="2076"/>
      <c r="WU238" s="2076"/>
      <c r="WV238" s="2076"/>
      <c r="WW238" s="2076"/>
      <c r="WX238" s="2076"/>
      <c r="WY238" s="2076"/>
      <c r="WZ238" s="2076"/>
      <c r="XA238" s="2076"/>
      <c r="XB238" s="2076"/>
      <c r="XC238" s="2076"/>
      <c r="XD238" s="2076"/>
      <c r="XE238" s="2076"/>
      <c r="XF238" s="2076"/>
      <c r="XG238" s="2076"/>
      <c r="XH238" s="2076"/>
      <c r="XI238" s="2076"/>
      <c r="XJ238" s="2076"/>
      <c r="XK238" s="2076"/>
      <c r="XL238" s="2076"/>
      <c r="XM238" s="2076"/>
      <c r="XN238" s="2076"/>
      <c r="XO238" s="2076"/>
      <c r="XP238" s="2076"/>
      <c r="XQ238" s="2076"/>
      <c r="XR238" s="2076"/>
      <c r="XS238" s="2076"/>
      <c r="XT238" s="2076"/>
      <c r="XU238" s="2076"/>
      <c r="XV238" s="2076"/>
      <c r="XW238" s="2076"/>
      <c r="XX238" s="2076"/>
      <c r="XY238" s="2076"/>
      <c r="XZ238" s="2076"/>
      <c r="YA238" s="2076"/>
      <c r="YB238" s="2076"/>
      <c r="YC238" s="2076"/>
      <c r="YD238" s="2076"/>
      <c r="YE238" s="2076"/>
      <c r="YF238" s="2076"/>
      <c r="YG238" s="2076"/>
      <c r="YH238" s="2076"/>
      <c r="YI238" s="2076"/>
      <c r="YJ238" s="2076"/>
      <c r="YK238" s="2076"/>
      <c r="YL238" s="2076"/>
      <c r="YM238" s="2076"/>
      <c r="YN238" s="2076"/>
      <c r="YO238" s="2076"/>
      <c r="YP238" s="2076"/>
      <c r="YQ238" s="2076"/>
      <c r="YR238" s="2076"/>
      <c r="YS238" s="2076"/>
      <c r="YT238" s="2076"/>
      <c r="YU238" s="2076"/>
      <c r="YV238" s="2076"/>
      <c r="YW238" s="2076"/>
      <c r="YX238" s="2076"/>
      <c r="YY238" s="2076"/>
      <c r="YZ238" s="2076"/>
      <c r="ZA238" s="2076"/>
      <c r="ZB238" s="2076"/>
      <c r="ZC238" s="2076"/>
      <c r="ZD238" s="2076"/>
      <c r="ZE238" s="2076"/>
      <c r="ZF238" s="2076"/>
      <c r="ZG238" s="2076"/>
      <c r="ZH238" s="2076"/>
      <c r="ZI238" s="2076"/>
      <c r="ZJ238" s="2076"/>
      <c r="ZK238" s="2076"/>
      <c r="ZL238" s="2076"/>
      <c r="ZM238" s="2076"/>
      <c r="ZN238" s="2076"/>
      <c r="ZO238" s="2076"/>
      <c r="ZP238" s="2076"/>
      <c r="ZQ238" s="2076"/>
      <c r="ZR238" s="2076"/>
      <c r="ZS238" s="2076"/>
      <c r="ZT238" s="2076"/>
      <c r="ZU238" s="2076"/>
      <c r="ZV238" s="2076"/>
      <c r="ZW238" s="2076"/>
      <c r="ZX238" s="2076"/>
      <c r="ZY238" s="2076"/>
      <c r="ZZ238" s="2076"/>
      <c r="AAA238" s="2076"/>
      <c r="AAB238" s="2076"/>
      <c r="AAC238" s="2076"/>
      <c r="AAD238" s="2076"/>
      <c r="AAE238" s="2076"/>
      <c r="AAF238" s="2076"/>
      <c r="AAG238" s="2076"/>
      <c r="AAH238" s="2076"/>
      <c r="AAI238" s="2076"/>
      <c r="AAJ238" s="2076"/>
      <c r="AAK238" s="2076"/>
      <c r="AAL238" s="2076"/>
      <c r="AAM238" s="2076"/>
      <c r="AAN238" s="2076"/>
      <c r="AAO238" s="2076"/>
      <c r="AAP238" s="2076"/>
      <c r="AAQ238" s="2076"/>
      <c r="AAR238" s="2076"/>
      <c r="AAS238" s="2076"/>
      <c r="AAT238" s="2076"/>
      <c r="AAU238" s="2076"/>
      <c r="AAV238" s="2076"/>
      <c r="AAW238" s="2076"/>
      <c r="AAX238" s="2076"/>
      <c r="AAY238" s="2076"/>
      <c r="AAZ238" s="2076"/>
      <c r="ABA238" s="2076"/>
      <c r="ABB238" s="2076"/>
      <c r="ABC238" s="2076"/>
      <c r="ABD238" s="2076"/>
      <c r="ABE238" s="2076"/>
      <c r="ABF238" s="2076"/>
      <c r="ABG238" s="2076"/>
      <c r="ABH238" s="2076"/>
      <c r="ABI238" s="2076"/>
      <c r="ABJ238" s="2076"/>
      <c r="ABK238" s="2076"/>
      <c r="ABL238" s="2076"/>
      <c r="ABM238" s="2076"/>
      <c r="ABN238" s="2076"/>
      <c r="ABO238" s="2076"/>
      <c r="ABP238" s="2076"/>
      <c r="ABQ238" s="2076"/>
      <c r="ABR238" s="2076"/>
      <c r="ABS238" s="2076"/>
      <c r="ABT238" s="2076"/>
      <c r="ABU238" s="2076"/>
      <c r="ABV238" s="2076"/>
      <c r="ABW238" s="2076"/>
      <c r="ABX238" s="2076"/>
      <c r="ABY238" s="2076"/>
      <c r="ABZ238" s="2076"/>
      <c r="ACA238" s="2076"/>
      <c r="ACB238" s="2076"/>
      <c r="ACC238" s="2076"/>
      <c r="ACD238" s="2076"/>
      <c r="ACE238" s="2076"/>
      <c r="ACF238" s="2076"/>
      <c r="ACG238" s="2076"/>
      <c r="ACH238" s="2076"/>
      <c r="ACI238" s="2076"/>
      <c r="ACJ238" s="2076"/>
      <c r="ACK238" s="2076"/>
      <c r="ACL238" s="2076"/>
      <c r="ACM238" s="2076"/>
      <c r="ACN238" s="2076"/>
      <c r="ACO238" s="2076"/>
      <c r="ACP238" s="2076"/>
      <c r="ACQ238" s="2076"/>
      <c r="ACR238" s="2076"/>
      <c r="ACS238" s="2076"/>
      <c r="ACT238" s="2076"/>
      <c r="ACU238" s="2076"/>
      <c r="ACV238" s="2076"/>
      <c r="ACW238" s="2076"/>
      <c r="ACX238" s="2076"/>
      <c r="ACY238" s="2076"/>
      <c r="ACZ238" s="2076"/>
      <c r="ADA238" s="2076"/>
      <c r="ADB238" s="2076"/>
      <c r="ADC238" s="2076"/>
      <c r="ADD238" s="2076"/>
      <c r="ADE238" s="2076"/>
      <c r="ADF238" s="2076"/>
      <c r="ADG238" s="2076"/>
      <c r="ADH238" s="2076"/>
      <c r="ADI238" s="2076"/>
      <c r="ADJ238" s="2076"/>
      <c r="ADK238" s="2076"/>
      <c r="ADL238" s="2076"/>
      <c r="ADM238" s="2076"/>
      <c r="ADN238" s="2076"/>
      <c r="ADO238" s="2076"/>
      <c r="ADP238" s="2076"/>
      <c r="ADQ238" s="2076"/>
      <c r="ADR238" s="2076"/>
      <c r="ADS238" s="2076"/>
      <c r="ADT238" s="2076"/>
      <c r="ADU238" s="2076"/>
      <c r="ADV238" s="2076"/>
      <c r="ADW238" s="2076"/>
      <c r="ADX238" s="2076"/>
      <c r="ADY238" s="2076"/>
      <c r="ADZ238" s="2076"/>
      <c r="AEA238" s="2076"/>
      <c r="AEB238" s="2076"/>
      <c r="AEC238" s="2076"/>
      <c r="AED238" s="2076"/>
      <c r="AEE238" s="2076"/>
      <c r="AEF238" s="2076"/>
      <c r="AEG238" s="2076"/>
      <c r="AEH238" s="2076"/>
      <c r="AEI238" s="2076"/>
      <c r="AEJ238" s="2076"/>
      <c r="AEK238" s="2076"/>
      <c r="AEL238" s="2076"/>
      <c r="AEM238" s="2076"/>
      <c r="AEN238" s="2076"/>
      <c r="AEO238" s="2076"/>
      <c r="AEP238" s="2076"/>
      <c r="AEQ238" s="2076"/>
      <c r="AER238" s="2076"/>
      <c r="AES238" s="2076"/>
      <c r="AET238" s="2076"/>
      <c r="AEU238" s="2076"/>
      <c r="AEV238" s="2076"/>
      <c r="AEW238" s="2076"/>
      <c r="AEX238" s="2076"/>
      <c r="AEY238" s="2076"/>
      <c r="AEZ238" s="2076"/>
      <c r="AFA238" s="2076"/>
      <c r="AFB238" s="2076"/>
      <c r="AFC238" s="2076"/>
      <c r="AFD238" s="2076"/>
      <c r="AFE238" s="2076"/>
      <c r="AFF238" s="2076"/>
      <c r="AFG238" s="2076"/>
      <c r="AFH238" s="2076"/>
      <c r="AFI238" s="2076"/>
      <c r="AFJ238" s="2076"/>
      <c r="AFK238" s="2076"/>
      <c r="AFL238" s="2076"/>
      <c r="AFM238" s="2076"/>
      <c r="AFN238" s="2076"/>
      <c r="AFO238" s="2076"/>
      <c r="AFP238" s="2076"/>
      <c r="AFQ238" s="2076"/>
      <c r="AFR238" s="2076"/>
      <c r="AFS238" s="2076"/>
      <c r="AFT238" s="2076"/>
      <c r="AFU238" s="2076"/>
      <c r="AFV238" s="2076"/>
      <c r="AFW238" s="2076"/>
      <c r="AFX238" s="2076"/>
      <c r="AFY238" s="2076"/>
      <c r="AFZ238" s="2076"/>
      <c r="AGA238" s="2076"/>
      <c r="AGB238" s="2076"/>
      <c r="AGC238" s="2076"/>
      <c r="AGD238" s="2076"/>
      <c r="AGE238" s="2076"/>
      <c r="AGF238" s="2076"/>
      <c r="AGG238" s="2076"/>
      <c r="AGH238" s="2076"/>
      <c r="AGI238" s="2076"/>
      <c r="AGJ238" s="2076"/>
      <c r="AGK238" s="2076"/>
      <c r="AGL238" s="2076"/>
      <c r="AGM238" s="2076"/>
      <c r="AGN238" s="2076"/>
      <c r="AGO238" s="2076"/>
      <c r="AGP238" s="2076"/>
      <c r="AGQ238" s="2076"/>
      <c r="AGR238" s="2076"/>
      <c r="AGS238" s="2076"/>
      <c r="AGT238" s="2076"/>
      <c r="AGU238" s="2076"/>
      <c r="AGV238" s="2076"/>
      <c r="AGW238" s="2076"/>
      <c r="AGX238" s="2076"/>
      <c r="AGY238" s="2076"/>
      <c r="AGZ238" s="2076"/>
      <c r="AHA238" s="2076"/>
      <c r="AHB238" s="2076"/>
      <c r="AHC238" s="2076"/>
      <c r="AHD238" s="2076"/>
      <c r="AHE238" s="2076"/>
      <c r="AHF238" s="2076"/>
      <c r="AHG238" s="2076"/>
      <c r="AHH238" s="2076"/>
      <c r="AHI238" s="2076"/>
      <c r="AHJ238" s="2076"/>
      <c r="AHK238" s="2076"/>
      <c r="AHL238" s="2076"/>
      <c r="AHM238" s="2076"/>
      <c r="AHN238" s="2076"/>
      <c r="AHO238" s="2076"/>
      <c r="AHP238" s="2076"/>
      <c r="AHQ238" s="2076"/>
      <c r="AHR238" s="2076"/>
      <c r="AHS238" s="2076"/>
      <c r="AHT238" s="2076"/>
      <c r="AHU238" s="2076"/>
      <c r="AHV238" s="2076"/>
      <c r="AHW238" s="2076"/>
      <c r="AHX238" s="2076"/>
      <c r="AHY238" s="2076"/>
      <c r="AHZ238" s="2076"/>
      <c r="AIA238" s="2076"/>
      <c r="AIB238" s="2076"/>
      <c r="AIC238" s="2076"/>
      <c r="AID238" s="2076"/>
      <c r="AIE238" s="2076"/>
      <c r="AIF238" s="2076"/>
      <c r="AIG238" s="2076"/>
      <c r="AIH238" s="2076"/>
      <c r="AII238" s="2076"/>
      <c r="AIJ238" s="2076"/>
      <c r="AIK238" s="2076"/>
      <c r="AIL238" s="2076"/>
      <c r="AIM238" s="2076"/>
      <c r="AIN238" s="2076"/>
      <c r="AIO238" s="2076"/>
      <c r="AIP238" s="2076"/>
      <c r="AIQ238" s="2076"/>
      <c r="AIR238" s="2076"/>
      <c r="AIS238" s="2076"/>
      <c r="AIT238" s="2076"/>
      <c r="AIU238" s="2076"/>
      <c r="AIV238" s="2076"/>
      <c r="AIW238" s="2076"/>
      <c r="AIX238" s="2076"/>
      <c r="AIY238" s="2076"/>
      <c r="AIZ238" s="2076"/>
      <c r="AJA238" s="2076"/>
      <c r="AJB238" s="2076"/>
      <c r="AJC238" s="2076"/>
      <c r="AJD238" s="2076"/>
      <c r="AJE238" s="2076"/>
      <c r="AJF238" s="2076"/>
      <c r="AJG238" s="2076"/>
      <c r="AJH238" s="2076"/>
      <c r="AJI238" s="2076"/>
      <c r="AJJ238" s="2076"/>
      <c r="AJK238" s="2076"/>
      <c r="AJL238" s="2076"/>
      <c r="AJM238" s="2076"/>
      <c r="AJN238" s="2076"/>
      <c r="AJO238" s="2076"/>
      <c r="AJP238" s="2076"/>
      <c r="AJQ238" s="2076"/>
      <c r="AJR238" s="2076"/>
      <c r="AJS238" s="2076"/>
      <c r="AJT238" s="2076"/>
      <c r="AJU238" s="2076"/>
      <c r="AJV238" s="2076"/>
      <c r="AJW238" s="2076"/>
      <c r="AJX238" s="2076"/>
      <c r="AJY238" s="2076"/>
      <c r="AJZ238" s="2076"/>
      <c r="AKA238" s="2076"/>
      <c r="AKB238" s="2076"/>
      <c r="AKC238" s="2076"/>
      <c r="AKD238" s="2076"/>
      <c r="AKE238" s="2076"/>
      <c r="AKF238" s="2076"/>
      <c r="AKG238" s="2076"/>
      <c r="AKH238" s="2076"/>
      <c r="AKI238" s="2076"/>
      <c r="AKJ238" s="2076"/>
      <c r="AKK238" s="2076"/>
      <c r="AKL238" s="2076"/>
      <c r="AKM238" s="2076"/>
      <c r="AKN238" s="2076"/>
      <c r="AKO238" s="2076"/>
      <c r="AKP238" s="2076"/>
      <c r="AKQ238" s="2076"/>
      <c r="AKR238" s="2076"/>
      <c r="AKS238" s="2076"/>
      <c r="AKT238" s="2076"/>
      <c r="AKU238" s="2076"/>
      <c r="AKV238" s="2076"/>
      <c r="AKW238" s="2076"/>
      <c r="AKX238" s="2076"/>
      <c r="AKY238" s="2076"/>
      <c r="AKZ238" s="2076"/>
      <c r="ALA238" s="2076"/>
      <c r="ALB238" s="2076"/>
      <c r="ALC238" s="2076"/>
      <c r="ALD238" s="2076"/>
      <c r="ALE238" s="2076"/>
      <c r="ALF238" s="2076"/>
      <c r="ALG238" s="2076"/>
      <c r="ALH238" s="2076"/>
      <c r="ALI238" s="2076"/>
      <c r="ALJ238" s="2076"/>
      <c r="ALK238" s="2076"/>
      <c r="ALL238" s="2076"/>
      <c r="ALM238" s="2076"/>
      <c r="ALN238" s="2076"/>
      <c r="ALO238" s="2076"/>
      <c r="ALP238" s="2076"/>
      <c r="ALQ238" s="2076"/>
      <c r="ALR238" s="2076"/>
      <c r="ALS238" s="2076"/>
      <c r="ALT238" s="2076"/>
      <c r="ALU238" s="2076"/>
      <c r="ALV238" s="2076"/>
      <c r="ALW238" s="2076"/>
      <c r="ALX238" s="2076"/>
      <c r="ALY238" s="2076"/>
      <c r="ALZ238" s="2076"/>
      <c r="AMA238" s="2076"/>
      <c r="AMB238" s="2076"/>
      <c r="AMC238" s="2076"/>
      <c r="AMD238" s="2076"/>
      <c r="AME238" s="2076"/>
      <c r="AMF238" s="2076"/>
      <c r="AMG238" s="2076"/>
      <c r="AMH238" s="2076"/>
      <c r="AMI238" s="2076"/>
      <c r="AMJ238" s="2076"/>
      <c r="AMK238" s="2076"/>
      <c r="AML238" s="2076"/>
      <c r="AMM238" s="2076"/>
      <c r="AMN238" s="2076"/>
      <c r="AMO238" s="2076"/>
      <c r="AMP238" s="2076"/>
      <c r="AMQ238" s="2076"/>
      <c r="AMR238" s="2076"/>
      <c r="AMS238" s="2076"/>
      <c r="AMT238" s="2076"/>
      <c r="AMU238" s="2076"/>
      <c r="AMV238" s="2076"/>
      <c r="AMW238" s="2076"/>
      <c r="AMX238" s="2076"/>
      <c r="AMY238" s="2076"/>
      <c r="AMZ238" s="2076"/>
      <c r="ANA238" s="2076"/>
      <c r="ANB238" s="2076"/>
      <c r="ANC238" s="2076"/>
      <c r="AND238" s="2076"/>
      <c r="ANE238" s="2076"/>
      <c r="ANF238" s="2076"/>
      <c r="ANG238" s="2076"/>
      <c r="ANH238" s="2076"/>
      <c r="ANI238" s="2076"/>
      <c r="ANJ238" s="2076"/>
      <c r="ANK238" s="2076"/>
      <c r="ANL238" s="2076"/>
      <c r="ANM238" s="2076"/>
      <c r="ANN238" s="2076"/>
      <c r="ANO238" s="2076"/>
      <c r="ANP238" s="2076"/>
      <c r="ANQ238" s="2076"/>
      <c r="ANR238" s="2076"/>
      <c r="ANS238" s="2076"/>
      <c r="ANT238" s="2076"/>
      <c r="ANU238" s="2076"/>
      <c r="ANV238" s="2076"/>
      <c r="ANW238" s="2076"/>
      <c r="ANX238" s="2076"/>
      <c r="ANY238" s="2076"/>
      <c r="ANZ238" s="2076"/>
      <c r="AOA238" s="2076"/>
      <c r="AOB238" s="2076"/>
      <c r="AOC238" s="2076"/>
      <c r="AOD238" s="2076"/>
      <c r="AOE238" s="2076"/>
      <c r="AOF238" s="2076"/>
      <c r="AOG238" s="2076"/>
      <c r="AOH238" s="2076"/>
      <c r="AOI238" s="2076"/>
      <c r="AOJ238" s="2076"/>
      <c r="AOK238" s="2076"/>
      <c r="AOL238" s="2076"/>
      <c r="AOM238" s="2076"/>
      <c r="AON238" s="2076"/>
      <c r="AOO238" s="2076"/>
      <c r="AOP238" s="2076"/>
      <c r="AOQ238" s="2076"/>
      <c r="AOR238" s="2076"/>
      <c r="AOS238" s="2076"/>
      <c r="AOT238" s="2076"/>
      <c r="AOU238" s="2076"/>
      <c r="AOV238" s="2076"/>
      <c r="AOW238" s="2076"/>
      <c r="AOX238" s="2076"/>
      <c r="AOY238" s="2076"/>
      <c r="AOZ238" s="2076"/>
      <c r="APA238" s="2076"/>
      <c r="APB238" s="2076"/>
      <c r="APC238" s="2076"/>
      <c r="APD238" s="2076"/>
      <c r="APE238" s="2076"/>
      <c r="APF238" s="2076"/>
      <c r="APG238" s="2076"/>
      <c r="APH238" s="2076"/>
      <c r="API238" s="2076"/>
      <c r="APJ238" s="2076"/>
      <c r="APK238" s="2076"/>
      <c r="APL238" s="2076"/>
      <c r="APM238" s="2076"/>
      <c r="APN238" s="2076"/>
      <c r="APO238" s="2076"/>
      <c r="APP238" s="2076"/>
      <c r="APQ238" s="2076"/>
      <c r="APR238" s="2076"/>
      <c r="APS238" s="2076"/>
      <c r="APT238" s="2076"/>
      <c r="APU238" s="2076"/>
      <c r="APV238" s="2076"/>
      <c r="APW238" s="2076"/>
      <c r="APX238" s="2076"/>
      <c r="APY238" s="2076"/>
      <c r="APZ238" s="2076"/>
      <c r="AQA238" s="2076"/>
      <c r="AQB238" s="2076"/>
      <c r="AQC238" s="2076"/>
      <c r="AQD238" s="2076"/>
      <c r="AQE238" s="2076"/>
      <c r="AQF238" s="2076"/>
      <c r="AQG238" s="2076"/>
      <c r="AQH238" s="2076"/>
      <c r="AQI238" s="2076"/>
      <c r="AQJ238" s="2076"/>
      <c r="AQK238" s="2076"/>
      <c r="AQL238" s="2076"/>
      <c r="AQM238" s="2076"/>
      <c r="AQN238" s="2076"/>
      <c r="AQO238" s="2076"/>
      <c r="AQP238" s="2076"/>
      <c r="AQQ238" s="2076"/>
      <c r="AQR238" s="2076"/>
      <c r="AQS238" s="2076"/>
      <c r="AQT238" s="2076"/>
      <c r="AQU238" s="2076"/>
      <c r="AQV238" s="2076"/>
      <c r="AQW238" s="2076"/>
      <c r="AQX238" s="2076"/>
      <c r="AQY238" s="2076"/>
      <c r="AQZ238" s="2076"/>
      <c r="ARA238" s="2076"/>
      <c r="ARB238" s="2076"/>
      <c r="ARC238" s="2076"/>
      <c r="ARD238" s="2076"/>
      <c r="ARE238" s="2076"/>
      <c r="ARF238" s="2076"/>
      <c r="ARG238" s="2076"/>
      <c r="ARH238" s="2076"/>
      <c r="ARI238" s="2076"/>
      <c r="ARJ238" s="2076"/>
      <c r="ARK238" s="2076"/>
      <c r="ARL238" s="2076"/>
      <c r="ARM238" s="2076"/>
      <c r="ARN238" s="2076"/>
      <c r="ARO238" s="2076"/>
      <c r="ARP238" s="2076"/>
      <c r="ARQ238" s="2076"/>
      <c r="ARR238" s="2076"/>
      <c r="ARS238" s="2076"/>
      <c r="ART238" s="2076"/>
      <c r="ARU238" s="2076"/>
      <c r="ARV238" s="2076"/>
      <c r="ARW238" s="2076"/>
      <c r="ARX238" s="2076"/>
      <c r="ARY238" s="2076"/>
      <c r="ARZ238" s="2076"/>
      <c r="ASA238" s="2076"/>
      <c r="ASB238" s="2076"/>
      <c r="ASC238" s="2076"/>
      <c r="ASD238" s="2076"/>
      <c r="ASE238" s="2076"/>
      <c r="ASF238" s="2076"/>
      <c r="ASG238" s="2076"/>
      <c r="ASH238" s="2076"/>
      <c r="ASI238" s="2076"/>
      <c r="ASJ238" s="2076"/>
      <c r="ASK238" s="2076"/>
      <c r="ASL238" s="2076"/>
      <c r="ASM238" s="2076"/>
      <c r="ASN238" s="2076"/>
      <c r="ASO238" s="2076"/>
      <c r="ASP238" s="2076"/>
      <c r="ASQ238" s="2076"/>
      <c r="ASR238" s="2076"/>
      <c r="ASS238" s="2076"/>
      <c r="AST238" s="2076"/>
      <c r="ASU238" s="2076"/>
      <c r="ASV238" s="2076"/>
      <c r="ASW238" s="2076"/>
      <c r="ASX238" s="2076"/>
      <c r="ASY238" s="2076"/>
      <c r="ASZ238" s="2076"/>
      <c r="ATA238" s="2076"/>
      <c r="ATB238" s="2076"/>
      <c r="ATC238" s="2076"/>
      <c r="ATD238" s="2076"/>
      <c r="ATE238" s="2076"/>
      <c r="ATF238" s="2076"/>
      <c r="ATG238" s="2076"/>
      <c r="ATH238" s="2076"/>
      <c r="ATI238" s="2076"/>
      <c r="ATJ238" s="2076"/>
      <c r="ATK238" s="2076"/>
      <c r="ATL238" s="2076"/>
      <c r="ATM238" s="2076"/>
      <c r="ATN238" s="2076"/>
      <c r="ATO238" s="2076"/>
      <c r="ATP238" s="2076"/>
      <c r="ATQ238" s="2076"/>
      <c r="ATR238" s="2076"/>
      <c r="ATS238" s="2076"/>
      <c r="ATT238" s="2076"/>
      <c r="ATU238" s="2076"/>
      <c r="ATV238" s="2076"/>
      <c r="ATW238" s="2076"/>
      <c r="ATX238" s="2076"/>
      <c r="ATY238" s="2076"/>
      <c r="ATZ238" s="2076"/>
      <c r="AUA238" s="2076"/>
      <c r="AUB238" s="2076"/>
      <c r="AUC238" s="2076"/>
      <c r="AUD238" s="2076"/>
      <c r="AUE238" s="2076"/>
      <c r="AUF238" s="2076"/>
      <c r="AUG238" s="2076"/>
      <c r="AUH238" s="2076"/>
      <c r="AUI238" s="2076"/>
      <c r="AUJ238" s="2076"/>
      <c r="AUK238" s="2076"/>
      <c r="AUL238" s="2076"/>
      <c r="AUM238" s="2076"/>
      <c r="AUN238" s="2076"/>
      <c r="AUO238" s="2076"/>
      <c r="AUP238" s="2076"/>
      <c r="AUQ238" s="2076"/>
      <c r="AUR238" s="2076"/>
      <c r="AUS238" s="2076"/>
      <c r="AUT238" s="2076"/>
      <c r="AUU238" s="2076"/>
      <c r="AUV238" s="2076"/>
      <c r="AUW238" s="2076"/>
      <c r="AUX238" s="2076"/>
      <c r="AUY238" s="2076"/>
      <c r="AUZ238" s="2076"/>
      <c r="AVA238" s="2076"/>
      <c r="AVB238" s="2076"/>
      <c r="AVC238" s="2076"/>
      <c r="AVD238" s="2076"/>
      <c r="AVE238" s="2076"/>
      <c r="AVF238" s="2076"/>
      <c r="AVG238" s="2076"/>
      <c r="AVH238" s="2076"/>
      <c r="AVI238" s="2076"/>
      <c r="AVJ238" s="2076"/>
      <c r="AVK238" s="2076"/>
      <c r="AVL238" s="2076"/>
      <c r="AVM238" s="2076"/>
      <c r="AVN238" s="2076"/>
      <c r="AVO238" s="2076"/>
      <c r="AVP238" s="2076"/>
      <c r="AVQ238" s="2076"/>
      <c r="AVR238" s="2076"/>
      <c r="AVS238" s="2076"/>
      <c r="AVT238" s="2076"/>
      <c r="AVU238" s="2076"/>
      <c r="AVV238" s="2076"/>
      <c r="AVW238" s="2076"/>
      <c r="AVX238" s="2076"/>
      <c r="AVY238" s="2076"/>
      <c r="AVZ238" s="2076"/>
      <c r="AWA238" s="2076"/>
      <c r="AWB238" s="2076"/>
      <c r="AWC238" s="2076"/>
      <c r="AWD238" s="2076"/>
      <c r="AWE238" s="2076"/>
      <c r="AWF238" s="2076"/>
      <c r="AWG238" s="2076"/>
      <c r="AWH238" s="2076"/>
      <c r="AWI238" s="2076"/>
      <c r="AWJ238" s="2076"/>
      <c r="AWK238" s="2076"/>
      <c r="AWL238" s="2076"/>
      <c r="AWM238" s="2076"/>
      <c r="AWN238" s="2076"/>
      <c r="AWO238" s="2076"/>
      <c r="AWP238" s="2076"/>
      <c r="AWQ238" s="2076"/>
      <c r="AWR238" s="2076"/>
      <c r="AWS238" s="2076"/>
      <c r="AWT238" s="2076"/>
      <c r="AWU238" s="2076"/>
      <c r="AWV238" s="2076"/>
      <c r="AWW238" s="2076"/>
      <c r="AWX238" s="2076"/>
      <c r="AWY238" s="2076"/>
      <c r="AWZ238" s="2076"/>
      <c r="AXA238" s="2076"/>
      <c r="AXB238" s="2076"/>
      <c r="AXC238" s="2076"/>
      <c r="AXD238" s="2076"/>
      <c r="AXE238" s="2076"/>
      <c r="AXF238" s="2076"/>
      <c r="AXG238" s="2076"/>
      <c r="AXH238" s="2076"/>
      <c r="AXI238" s="2076"/>
      <c r="AXJ238" s="2076"/>
    </row>
    <row r="239" spans="1:1310" s="2077" customFormat="1" ht="23.25" customHeight="1">
      <c r="A239" s="2092"/>
      <c r="B239" s="2096"/>
      <c r="C239" s="2096"/>
      <c r="D239" s="2096"/>
      <c r="E239" s="2096"/>
      <c r="F239" s="2096"/>
      <c r="G239" s="2096"/>
      <c r="H239" s="2096"/>
      <c r="I239" s="2096"/>
      <c r="J239" s="2096"/>
      <c r="K239" s="2096"/>
      <c r="L239" s="2096"/>
      <c r="M239" s="2096"/>
      <c r="N239" s="2096"/>
      <c r="O239" s="2096"/>
      <c r="P239" s="2096"/>
      <c r="Q239" s="2096"/>
      <c r="R239" s="755"/>
      <c r="S239" s="755"/>
      <c r="T239" s="755"/>
      <c r="U239" s="755"/>
      <c r="V239" s="755"/>
      <c r="W239" s="755"/>
      <c r="X239" s="755"/>
      <c r="Y239" s="755"/>
      <c r="Z239" s="755"/>
      <c r="AA239" s="755"/>
      <c r="AB239" s="755"/>
      <c r="AC239" s="755"/>
      <c r="AD239" s="2075"/>
      <c r="AE239" s="2075"/>
      <c r="AF239" s="2075"/>
      <c r="AG239" s="2075"/>
      <c r="AH239" s="2075"/>
      <c r="AI239" s="2075"/>
      <c r="AJ239" s="2075"/>
      <c r="AK239" s="2075"/>
      <c r="AL239" s="2075"/>
      <c r="AM239" s="2075"/>
      <c r="AN239" s="2075"/>
      <c r="AO239" s="2075"/>
      <c r="AP239" s="2075"/>
      <c r="AQ239" s="2075"/>
      <c r="AR239" s="2075"/>
      <c r="AS239" s="2075"/>
      <c r="AT239" s="2075"/>
      <c r="AU239" s="2075"/>
      <c r="AV239" s="2076"/>
      <c r="AW239" s="2076"/>
      <c r="AX239" s="2076"/>
      <c r="AY239" s="2076"/>
      <c r="AZ239" s="2076"/>
      <c r="BA239" s="2076"/>
      <c r="BB239" s="2076"/>
      <c r="BC239" s="2076"/>
      <c r="BD239" s="2076"/>
      <c r="BE239" s="2076"/>
      <c r="BF239" s="2076"/>
      <c r="BG239" s="2076"/>
      <c r="BH239" s="2076"/>
      <c r="BI239" s="2076"/>
      <c r="BJ239" s="2076"/>
      <c r="BK239" s="2076"/>
      <c r="BL239" s="2076"/>
      <c r="BM239" s="2076"/>
      <c r="BN239" s="2076"/>
      <c r="BO239" s="2076"/>
      <c r="BP239" s="2076"/>
      <c r="BQ239" s="2076"/>
      <c r="BR239" s="2076"/>
      <c r="BS239" s="2076"/>
      <c r="BT239" s="2076"/>
      <c r="BU239" s="2076"/>
      <c r="BV239" s="2076"/>
      <c r="BW239" s="2076"/>
      <c r="BX239" s="2076"/>
      <c r="BY239" s="2076"/>
      <c r="BZ239" s="2076"/>
      <c r="CA239" s="2076"/>
      <c r="CB239" s="2076"/>
      <c r="CC239" s="2076"/>
      <c r="CD239" s="2076"/>
      <c r="CE239" s="2076"/>
      <c r="CF239" s="2076"/>
      <c r="CG239" s="2076"/>
      <c r="CH239" s="2076"/>
      <c r="CI239" s="2076"/>
      <c r="CJ239" s="2076"/>
      <c r="CK239" s="2076"/>
      <c r="CL239" s="2076"/>
      <c r="CM239" s="2076"/>
      <c r="CN239" s="2076"/>
      <c r="CO239" s="2076"/>
      <c r="CP239" s="2076"/>
      <c r="CQ239" s="2076"/>
      <c r="CR239" s="2076"/>
      <c r="CS239" s="2076"/>
      <c r="CT239" s="2076"/>
      <c r="CU239" s="2076"/>
      <c r="CV239" s="2076"/>
      <c r="CW239" s="2076"/>
      <c r="CX239" s="2076"/>
      <c r="CY239" s="2076"/>
      <c r="CZ239" s="2076"/>
      <c r="DA239" s="2076"/>
      <c r="DB239" s="2076"/>
      <c r="DC239" s="2076"/>
      <c r="DD239" s="2076"/>
      <c r="DE239" s="2076"/>
      <c r="DF239" s="2076"/>
      <c r="DG239" s="2076"/>
      <c r="DH239" s="2076"/>
      <c r="DI239" s="2076"/>
      <c r="DJ239" s="2076"/>
      <c r="DK239" s="2076"/>
      <c r="DL239" s="2076"/>
      <c r="DM239" s="2076"/>
      <c r="DN239" s="2076"/>
      <c r="DO239" s="2076"/>
      <c r="DP239" s="2076"/>
      <c r="DQ239" s="2076"/>
      <c r="DR239" s="2076"/>
      <c r="DS239" s="2076"/>
      <c r="DT239" s="2076"/>
      <c r="DU239" s="2076"/>
      <c r="DV239" s="2076"/>
      <c r="DW239" s="2076"/>
      <c r="DX239" s="2076"/>
      <c r="DY239" s="2076"/>
      <c r="DZ239" s="2076"/>
      <c r="EA239" s="2076"/>
      <c r="EB239" s="2076"/>
      <c r="EC239" s="2076"/>
      <c r="ED239" s="2076"/>
      <c r="EE239" s="2076"/>
      <c r="EF239" s="2076"/>
      <c r="EG239" s="2076"/>
      <c r="EH239" s="2076"/>
      <c r="EI239" s="2076"/>
      <c r="EJ239" s="2076"/>
      <c r="EK239" s="2076"/>
      <c r="EL239" s="2076"/>
      <c r="EM239" s="2076"/>
      <c r="EN239" s="2076"/>
      <c r="EO239" s="2076"/>
      <c r="EP239" s="2076"/>
      <c r="EQ239" s="2076"/>
      <c r="ER239" s="2076"/>
      <c r="ES239" s="2076"/>
      <c r="ET239" s="2076"/>
      <c r="EU239" s="2076"/>
      <c r="EV239" s="2076"/>
      <c r="EW239" s="2076"/>
      <c r="EX239" s="2076"/>
      <c r="EY239" s="2076"/>
      <c r="EZ239" s="2076"/>
      <c r="FA239" s="2076"/>
      <c r="FB239" s="2076"/>
      <c r="FC239" s="2076"/>
      <c r="FD239" s="2076"/>
      <c r="FE239" s="2076"/>
      <c r="FF239" s="2076"/>
      <c r="FG239" s="2076"/>
      <c r="FH239" s="2076"/>
      <c r="FI239" s="2076"/>
      <c r="FJ239" s="2076"/>
      <c r="FK239" s="2076"/>
      <c r="FL239" s="2076"/>
      <c r="FM239" s="2076"/>
      <c r="FN239" s="2076"/>
      <c r="FO239" s="2076"/>
      <c r="FP239" s="2076"/>
      <c r="FQ239" s="2076"/>
      <c r="FR239" s="2076"/>
      <c r="FS239" s="2076"/>
      <c r="FT239" s="2076"/>
      <c r="FU239" s="2076"/>
      <c r="FV239" s="2076"/>
      <c r="FW239" s="2076"/>
      <c r="FX239" s="2076"/>
      <c r="FY239" s="2076"/>
      <c r="FZ239" s="2076"/>
      <c r="GA239" s="2076"/>
      <c r="GB239" s="2076"/>
      <c r="GC239" s="2076"/>
      <c r="GD239" s="2076"/>
      <c r="GE239" s="2076"/>
      <c r="GF239" s="2076"/>
      <c r="GG239" s="2076"/>
      <c r="GH239" s="2076"/>
      <c r="GI239" s="2076"/>
      <c r="GJ239" s="2076"/>
      <c r="GK239" s="2076"/>
      <c r="GL239" s="2076"/>
      <c r="GM239" s="2076"/>
      <c r="GN239" s="2076"/>
      <c r="GO239" s="2076"/>
      <c r="GP239" s="2076"/>
      <c r="GQ239" s="2076"/>
      <c r="GR239" s="2076"/>
      <c r="GS239" s="2076"/>
      <c r="GT239" s="2076"/>
      <c r="GU239" s="2076"/>
      <c r="GV239" s="2076"/>
      <c r="GW239" s="2076"/>
      <c r="GX239" s="2076"/>
      <c r="GY239" s="2076"/>
      <c r="GZ239" s="2076"/>
      <c r="HA239" s="2076"/>
      <c r="HB239" s="2076"/>
      <c r="HC239" s="2076"/>
      <c r="HD239" s="2076"/>
      <c r="HE239" s="2076"/>
      <c r="HF239" s="2076"/>
      <c r="HG239" s="2076"/>
      <c r="HH239" s="2076"/>
      <c r="HI239" s="2076"/>
      <c r="HJ239" s="2076"/>
      <c r="HK239" s="2076"/>
      <c r="HL239" s="2076"/>
      <c r="HM239" s="2076"/>
      <c r="HN239" s="2076"/>
      <c r="HO239" s="2076"/>
      <c r="HP239" s="2076"/>
      <c r="HQ239" s="2076"/>
      <c r="HR239" s="2076"/>
      <c r="HS239" s="2076"/>
      <c r="HT239" s="2076"/>
      <c r="HU239" s="2076"/>
      <c r="HV239" s="2076"/>
      <c r="HW239" s="2076"/>
      <c r="HX239" s="2076"/>
      <c r="HY239" s="2076"/>
      <c r="HZ239" s="2076"/>
      <c r="IA239" s="2076"/>
      <c r="IB239" s="2076"/>
      <c r="IC239" s="2076"/>
      <c r="ID239" s="2076"/>
      <c r="IE239" s="2076"/>
      <c r="IF239" s="2076"/>
      <c r="IG239" s="2076"/>
      <c r="IH239" s="2076"/>
      <c r="II239" s="2076"/>
      <c r="IJ239" s="2076"/>
      <c r="IK239" s="2076"/>
      <c r="IL239" s="2076"/>
      <c r="IM239" s="2076"/>
      <c r="IN239" s="2076"/>
      <c r="IO239" s="2076"/>
      <c r="IP239" s="2076"/>
      <c r="IQ239" s="2076"/>
      <c r="IR239" s="2076"/>
      <c r="IS239" s="2076"/>
      <c r="IT239" s="2076"/>
      <c r="IU239" s="2076"/>
      <c r="IV239" s="2076"/>
      <c r="IW239" s="2076"/>
      <c r="IX239" s="2076"/>
      <c r="IY239" s="2076"/>
      <c r="IZ239" s="2076"/>
      <c r="JA239" s="2076"/>
      <c r="JB239" s="2076"/>
      <c r="JC239" s="2076"/>
      <c r="JD239" s="2076"/>
      <c r="JE239" s="2076"/>
      <c r="JF239" s="2076"/>
      <c r="JG239" s="2076"/>
      <c r="JH239" s="2076"/>
      <c r="JI239" s="2076"/>
      <c r="JJ239" s="2076"/>
      <c r="JK239" s="2076"/>
      <c r="JL239" s="2076"/>
      <c r="JM239" s="2076"/>
      <c r="JN239" s="2076"/>
      <c r="JO239" s="2076"/>
      <c r="JP239" s="2076"/>
      <c r="JQ239" s="2076"/>
      <c r="JR239" s="2076"/>
      <c r="JS239" s="2076"/>
      <c r="JT239" s="2076"/>
      <c r="JU239" s="2076"/>
      <c r="JV239" s="2076"/>
      <c r="JW239" s="2076"/>
      <c r="JX239" s="2076"/>
      <c r="JY239" s="2076"/>
      <c r="JZ239" s="2076"/>
      <c r="KA239" s="2076"/>
      <c r="KB239" s="2076"/>
      <c r="KC239" s="2076"/>
      <c r="KD239" s="2076"/>
      <c r="KE239" s="2076"/>
      <c r="KF239" s="2076"/>
      <c r="KG239" s="2076"/>
      <c r="KH239" s="2076"/>
      <c r="KI239" s="2076"/>
      <c r="KJ239" s="2076"/>
      <c r="KK239" s="2076"/>
      <c r="KL239" s="2076"/>
      <c r="KM239" s="2076"/>
      <c r="KN239" s="2076"/>
      <c r="KO239" s="2076"/>
      <c r="KP239" s="2076"/>
      <c r="KQ239" s="2076"/>
      <c r="KR239" s="2076"/>
      <c r="KS239" s="2076"/>
      <c r="KT239" s="2076"/>
      <c r="KU239" s="2076"/>
      <c r="KV239" s="2076"/>
      <c r="KW239" s="2076"/>
      <c r="KX239" s="2076"/>
      <c r="KY239" s="2076"/>
      <c r="KZ239" s="2076"/>
      <c r="LA239" s="2076"/>
      <c r="LB239" s="2076"/>
      <c r="LC239" s="2076"/>
      <c r="LD239" s="2076"/>
      <c r="LE239" s="2076"/>
      <c r="LF239" s="2076"/>
      <c r="LG239" s="2076"/>
      <c r="LH239" s="2076"/>
      <c r="LI239" s="2076"/>
      <c r="LJ239" s="2076"/>
      <c r="LK239" s="2076"/>
      <c r="LL239" s="2076"/>
      <c r="LM239" s="2076"/>
      <c r="LN239" s="2076"/>
      <c r="LO239" s="2076"/>
      <c r="LP239" s="2076"/>
      <c r="LQ239" s="2076"/>
      <c r="LR239" s="2076"/>
      <c r="LS239" s="2076"/>
      <c r="LT239" s="2076"/>
      <c r="LU239" s="2076"/>
      <c r="LV239" s="2076"/>
      <c r="LW239" s="2076"/>
      <c r="LX239" s="2076"/>
      <c r="LY239" s="2076"/>
      <c r="LZ239" s="2076"/>
      <c r="MA239" s="2076"/>
      <c r="MB239" s="2076"/>
      <c r="MC239" s="2076"/>
      <c r="MD239" s="2076"/>
      <c r="ME239" s="2076"/>
      <c r="MF239" s="2076"/>
      <c r="MG239" s="2076"/>
      <c r="MH239" s="2076"/>
      <c r="MI239" s="2076"/>
      <c r="MJ239" s="2076"/>
      <c r="MK239" s="2076"/>
      <c r="ML239" s="2076"/>
      <c r="MM239" s="2076"/>
      <c r="MN239" s="2076"/>
      <c r="MO239" s="2076"/>
      <c r="MP239" s="2076"/>
      <c r="MQ239" s="2076"/>
      <c r="MR239" s="2076"/>
      <c r="MS239" s="2076"/>
      <c r="MT239" s="2076"/>
      <c r="MU239" s="2076"/>
      <c r="MV239" s="2076"/>
      <c r="MW239" s="2076"/>
      <c r="MX239" s="2076"/>
      <c r="MY239" s="2076"/>
      <c r="MZ239" s="2076"/>
      <c r="NA239" s="2076"/>
      <c r="NB239" s="2076"/>
      <c r="NC239" s="2076"/>
      <c r="ND239" s="2076"/>
      <c r="NE239" s="2076"/>
      <c r="NF239" s="2076"/>
      <c r="NG239" s="2076"/>
      <c r="NH239" s="2076"/>
      <c r="NI239" s="2076"/>
      <c r="NJ239" s="2076"/>
      <c r="NK239" s="2076"/>
      <c r="NL239" s="2076"/>
      <c r="NM239" s="2076"/>
      <c r="NN239" s="2076"/>
      <c r="NO239" s="2076"/>
      <c r="NP239" s="2076"/>
      <c r="NQ239" s="2076"/>
      <c r="NR239" s="2076"/>
      <c r="NS239" s="2076"/>
      <c r="NT239" s="2076"/>
      <c r="NU239" s="2076"/>
      <c r="NV239" s="2076"/>
      <c r="NW239" s="2076"/>
      <c r="NX239" s="2076"/>
      <c r="NY239" s="2076"/>
      <c r="NZ239" s="2076"/>
      <c r="OA239" s="2076"/>
      <c r="OB239" s="2076"/>
      <c r="OC239" s="2076"/>
      <c r="OD239" s="2076"/>
      <c r="OE239" s="2076"/>
      <c r="OF239" s="2076"/>
      <c r="OG239" s="2076"/>
      <c r="OH239" s="2076"/>
      <c r="OI239" s="2076"/>
      <c r="OJ239" s="2076"/>
      <c r="OK239" s="2076"/>
      <c r="OL239" s="2076"/>
      <c r="OM239" s="2076"/>
      <c r="ON239" s="2076"/>
      <c r="OO239" s="2076"/>
      <c r="OP239" s="2076"/>
      <c r="OQ239" s="2076"/>
      <c r="OR239" s="2076"/>
      <c r="OS239" s="2076"/>
      <c r="OT239" s="2076"/>
      <c r="OU239" s="2076"/>
      <c r="OV239" s="2076"/>
      <c r="OW239" s="2076"/>
      <c r="OX239" s="2076"/>
      <c r="OY239" s="2076"/>
      <c r="OZ239" s="2076"/>
      <c r="PA239" s="2076"/>
      <c r="PB239" s="2076"/>
      <c r="PC239" s="2076"/>
      <c r="PD239" s="2076"/>
      <c r="PE239" s="2076"/>
      <c r="PF239" s="2076"/>
      <c r="PG239" s="2076"/>
      <c r="PH239" s="2076"/>
      <c r="PI239" s="2076"/>
      <c r="PJ239" s="2076"/>
      <c r="PK239" s="2076"/>
      <c r="PL239" s="2076"/>
      <c r="PM239" s="2076"/>
      <c r="PN239" s="2076"/>
      <c r="PO239" s="2076"/>
      <c r="PP239" s="2076"/>
      <c r="PQ239" s="2076"/>
      <c r="PR239" s="2076"/>
      <c r="PS239" s="2076"/>
      <c r="PT239" s="2076"/>
      <c r="PU239" s="2076"/>
      <c r="PV239" s="2076"/>
      <c r="PW239" s="2076"/>
      <c r="PX239" s="2076"/>
      <c r="PY239" s="2076"/>
      <c r="PZ239" s="2076"/>
      <c r="QA239" s="2076"/>
      <c r="QB239" s="2076"/>
      <c r="QC239" s="2076"/>
      <c r="QD239" s="2076"/>
      <c r="QE239" s="2076"/>
      <c r="QF239" s="2076"/>
      <c r="QG239" s="2076"/>
      <c r="QH239" s="2076"/>
      <c r="QI239" s="2076"/>
      <c r="QJ239" s="2076"/>
      <c r="QK239" s="2076"/>
      <c r="QL239" s="2076"/>
      <c r="QM239" s="2076"/>
      <c r="QN239" s="2076"/>
      <c r="QO239" s="2076"/>
      <c r="QP239" s="2076"/>
      <c r="QQ239" s="2076"/>
      <c r="QR239" s="2076"/>
      <c r="QS239" s="2076"/>
      <c r="QT239" s="2076"/>
      <c r="QU239" s="2076"/>
      <c r="QV239" s="2076"/>
      <c r="QW239" s="2076"/>
      <c r="QX239" s="2076"/>
      <c r="QY239" s="2076"/>
      <c r="QZ239" s="2076"/>
      <c r="RA239" s="2076"/>
      <c r="RB239" s="2076"/>
      <c r="RC239" s="2076"/>
      <c r="RD239" s="2076"/>
      <c r="RE239" s="2076"/>
      <c r="RF239" s="2076"/>
      <c r="RG239" s="2076"/>
      <c r="RH239" s="2076"/>
      <c r="RI239" s="2076"/>
      <c r="RJ239" s="2076"/>
      <c r="RK239" s="2076"/>
      <c r="RL239" s="2076"/>
      <c r="RM239" s="2076"/>
      <c r="RN239" s="2076"/>
      <c r="RO239" s="2076"/>
      <c r="RP239" s="2076"/>
      <c r="RQ239" s="2076"/>
      <c r="RR239" s="2076"/>
      <c r="RS239" s="2076"/>
      <c r="RT239" s="2076"/>
      <c r="RU239" s="2076"/>
      <c r="RV239" s="2076"/>
      <c r="RW239" s="2076"/>
      <c r="RX239" s="2076"/>
      <c r="RY239" s="2076"/>
      <c r="RZ239" s="2076"/>
      <c r="SA239" s="2076"/>
      <c r="SB239" s="2076"/>
      <c r="SC239" s="2076"/>
      <c r="SD239" s="2076"/>
      <c r="SE239" s="2076"/>
      <c r="SF239" s="2076"/>
      <c r="SG239" s="2076"/>
      <c r="SH239" s="2076"/>
      <c r="SI239" s="2076"/>
      <c r="SJ239" s="2076"/>
      <c r="SK239" s="2076"/>
      <c r="SL239" s="2076"/>
      <c r="SM239" s="2076"/>
      <c r="SN239" s="2076"/>
      <c r="SO239" s="2076"/>
      <c r="SP239" s="2076"/>
      <c r="SQ239" s="2076"/>
      <c r="SR239" s="2076"/>
      <c r="SS239" s="2076"/>
      <c r="ST239" s="2076"/>
      <c r="SU239" s="2076"/>
      <c r="SV239" s="2076"/>
      <c r="SW239" s="2076"/>
      <c r="SX239" s="2076"/>
      <c r="SY239" s="2076"/>
      <c r="SZ239" s="2076"/>
      <c r="TA239" s="2076"/>
      <c r="TB239" s="2076"/>
      <c r="TC239" s="2076"/>
      <c r="TD239" s="2076"/>
      <c r="TE239" s="2076"/>
      <c r="TF239" s="2076"/>
      <c r="TG239" s="2076"/>
      <c r="TH239" s="2076"/>
      <c r="TI239" s="2076"/>
      <c r="TJ239" s="2076"/>
      <c r="TK239" s="2076"/>
      <c r="TL239" s="2076"/>
      <c r="TM239" s="2076"/>
      <c r="TN239" s="2076"/>
      <c r="TO239" s="2076"/>
      <c r="TP239" s="2076"/>
      <c r="TQ239" s="2076"/>
      <c r="TR239" s="2076"/>
      <c r="TS239" s="2076"/>
      <c r="TT239" s="2076"/>
      <c r="TU239" s="2076"/>
      <c r="TV239" s="2076"/>
      <c r="TW239" s="2076"/>
      <c r="TX239" s="2076"/>
      <c r="TY239" s="2076"/>
      <c r="TZ239" s="2076"/>
      <c r="UA239" s="2076"/>
      <c r="UB239" s="2076"/>
      <c r="UC239" s="2076"/>
      <c r="UD239" s="2076"/>
      <c r="UE239" s="2076"/>
      <c r="UF239" s="2076"/>
      <c r="UG239" s="2076"/>
      <c r="UH239" s="2076"/>
      <c r="UI239" s="2076"/>
      <c r="UJ239" s="2076"/>
      <c r="UK239" s="2076"/>
      <c r="UL239" s="2076"/>
      <c r="UM239" s="2076"/>
      <c r="UN239" s="2076"/>
      <c r="UO239" s="2076"/>
      <c r="UP239" s="2076"/>
      <c r="UQ239" s="2076"/>
      <c r="UR239" s="2076"/>
      <c r="US239" s="2076"/>
      <c r="UT239" s="2076"/>
      <c r="UU239" s="2076"/>
      <c r="UV239" s="2076"/>
      <c r="UW239" s="2076"/>
      <c r="UX239" s="2076"/>
      <c r="UY239" s="2076"/>
      <c r="UZ239" s="2076"/>
      <c r="VA239" s="2076"/>
      <c r="VB239" s="2076"/>
      <c r="VC239" s="2076"/>
      <c r="VD239" s="2076"/>
      <c r="VE239" s="2076"/>
      <c r="VF239" s="2076"/>
      <c r="VG239" s="2076"/>
      <c r="VH239" s="2076"/>
      <c r="VI239" s="2076"/>
      <c r="VJ239" s="2076"/>
      <c r="VK239" s="2076"/>
      <c r="VL239" s="2076"/>
      <c r="VM239" s="2076"/>
      <c r="VN239" s="2076"/>
      <c r="VO239" s="2076"/>
      <c r="VP239" s="2076"/>
      <c r="VQ239" s="2076"/>
      <c r="VR239" s="2076"/>
      <c r="VS239" s="2076"/>
      <c r="VT239" s="2076"/>
      <c r="VU239" s="2076"/>
      <c r="VV239" s="2076"/>
      <c r="VW239" s="2076"/>
      <c r="VX239" s="2076"/>
      <c r="VY239" s="2076"/>
      <c r="VZ239" s="2076"/>
      <c r="WA239" s="2076"/>
      <c r="WB239" s="2076"/>
      <c r="WC239" s="2076"/>
      <c r="WD239" s="2076"/>
      <c r="WE239" s="2076"/>
      <c r="WF239" s="2076"/>
      <c r="WG239" s="2076"/>
      <c r="WH239" s="2076"/>
      <c r="WI239" s="2076"/>
      <c r="WJ239" s="2076"/>
      <c r="WK239" s="2076"/>
      <c r="WL239" s="2076"/>
      <c r="WM239" s="2076"/>
      <c r="WN239" s="2076"/>
      <c r="WO239" s="2076"/>
      <c r="WP239" s="2076"/>
      <c r="WQ239" s="2076"/>
      <c r="WR239" s="2076"/>
      <c r="WS239" s="2076"/>
      <c r="WT239" s="2076"/>
      <c r="WU239" s="2076"/>
      <c r="WV239" s="2076"/>
      <c r="WW239" s="2076"/>
      <c r="WX239" s="2076"/>
      <c r="WY239" s="2076"/>
      <c r="WZ239" s="2076"/>
      <c r="XA239" s="2076"/>
      <c r="XB239" s="2076"/>
      <c r="XC239" s="2076"/>
      <c r="XD239" s="2076"/>
      <c r="XE239" s="2076"/>
      <c r="XF239" s="2076"/>
      <c r="XG239" s="2076"/>
      <c r="XH239" s="2076"/>
      <c r="XI239" s="2076"/>
      <c r="XJ239" s="2076"/>
      <c r="XK239" s="2076"/>
      <c r="XL239" s="2076"/>
      <c r="XM239" s="2076"/>
      <c r="XN239" s="2076"/>
      <c r="XO239" s="2076"/>
      <c r="XP239" s="2076"/>
      <c r="XQ239" s="2076"/>
      <c r="XR239" s="2076"/>
      <c r="XS239" s="2076"/>
      <c r="XT239" s="2076"/>
      <c r="XU239" s="2076"/>
      <c r="XV239" s="2076"/>
      <c r="XW239" s="2076"/>
      <c r="XX239" s="2076"/>
      <c r="XY239" s="2076"/>
      <c r="XZ239" s="2076"/>
      <c r="YA239" s="2076"/>
      <c r="YB239" s="2076"/>
      <c r="YC239" s="2076"/>
      <c r="YD239" s="2076"/>
      <c r="YE239" s="2076"/>
      <c r="YF239" s="2076"/>
      <c r="YG239" s="2076"/>
      <c r="YH239" s="2076"/>
      <c r="YI239" s="2076"/>
      <c r="YJ239" s="2076"/>
      <c r="YK239" s="2076"/>
      <c r="YL239" s="2076"/>
      <c r="YM239" s="2076"/>
      <c r="YN239" s="2076"/>
      <c r="YO239" s="2076"/>
      <c r="YP239" s="2076"/>
      <c r="YQ239" s="2076"/>
      <c r="YR239" s="2076"/>
      <c r="YS239" s="2076"/>
      <c r="YT239" s="2076"/>
      <c r="YU239" s="2076"/>
      <c r="YV239" s="2076"/>
      <c r="YW239" s="2076"/>
      <c r="YX239" s="2076"/>
      <c r="YY239" s="2076"/>
      <c r="YZ239" s="2076"/>
      <c r="ZA239" s="2076"/>
      <c r="ZB239" s="2076"/>
      <c r="ZC239" s="2076"/>
      <c r="ZD239" s="2076"/>
      <c r="ZE239" s="2076"/>
      <c r="ZF239" s="2076"/>
      <c r="ZG239" s="2076"/>
      <c r="ZH239" s="2076"/>
      <c r="ZI239" s="2076"/>
      <c r="ZJ239" s="2076"/>
      <c r="ZK239" s="2076"/>
      <c r="ZL239" s="2076"/>
      <c r="ZM239" s="2076"/>
      <c r="ZN239" s="2076"/>
      <c r="ZO239" s="2076"/>
      <c r="ZP239" s="2076"/>
      <c r="ZQ239" s="2076"/>
      <c r="ZR239" s="2076"/>
      <c r="ZS239" s="2076"/>
      <c r="ZT239" s="2076"/>
      <c r="ZU239" s="2076"/>
      <c r="ZV239" s="2076"/>
      <c r="ZW239" s="2076"/>
      <c r="ZX239" s="2076"/>
      <c r="ZY239" s="2076"/>
      <c r="ZZ239" s="2076"/>
      <c r="AAA239" s="2076"/>
      <c r="AAB239" s="2076"/>
      <c r="AAC239" s="2076"/>
      <c r="AAD239" s="2076"/>
      <c r="AAE239" s="2076"/>
      <c r="AAF239" s="2076"/>
      <c r="AAG239" s="2076"/>
      <c r="AAH239" s="2076"/>
      <c r="AAI239" s="2076"/>
      <c r="AAJ239" s="2076"/>
      <c r="AAK239" s="2076"/>
      <c r="AAL239" s="2076"/>
      <c r="AAM239" s="2076"/>
      <c r="AAN239" s="2076"/>
      <c r="AAO239" s="2076"/>
      <c r="AAP239" s="2076"/>
      <c r="AAQ239" s="2076"/>
      <c r="AAR239" s="2076"/>
      <c r="AAS239" s="2076"/>
      <c r="AAT239" s="2076"/>
      <c r="AAU239" s="2076"/>
      <c r="AAV239" s="2076"/>
      <c r="AAW239" s="2076"/>
      <c r="AAX239" s="2076"/>
      <c r="AAY239" s="2076"/>
      <c r="AAZ239" s="2076"/>
      <c r="ABA239" s="2076"/>
      <c r="ABB239" s="2076"/>
      <c r="ABC239" s="2076"/>
      <c r="ABD239" s="2076"/>
      <c r="ABE239" s="2076"/>
      <c r="ABF239" s="2076"/>
      <c r="ABG239" s="2076"/>
      <c r="ABH239" s="2076"/>
      <c r="ABI239" s="2076"/>
      <c r="ABJ239" s="2076"/>
      <c r="ABK239" s="2076"/>
      <c r="ABL239" s="2076"/>
      <c r="ABM239" s="2076"/>
      <c r="ABN239" s="2076"/>
      <c r="ABO239" s="2076"/>
      <c r="ABP239" s="2076"/>
      <c r="ABQ239" s="2076"/>
      <c r="ABR239" s="2076"/>
      <c r="ABS239" s="2076"/>
      <c r="ABT239" s="2076"/>
      <c r="ABU239" s="2076"/>
      <c r="ABV239" s="2076"/>
      <c r="ABW239" s="2076"/>
      <c r="ABX239" s="2076"/>
      <c r="ABY239" s="2076"/>
      <c r="ABZ239" s="2076"/>
      <c r="ACA239" s="2076"/>
      <c r="ACB239" s="2076"/>
      <c r="ACC239" s="2076"/>
      <c r="ACD239" s="2076"/>
      <c r="ACE239" s="2076"/>
      <c r="ACF239" s="2076"/>
      <c r="ACG239" s="2076"/>
      <c r="ACH239" s="2076"/>
      <c r="ACI239" s="2076"/>
      <c r="ACJ239" s="2076"/>
      <c r="ACK239" s="2076"/>
      <c r="ACL239" s="2076"/>
      <c r="ACM239" s="2076"/>
      <c r="ACN239" s="2076"/>
      <c r="ACO239" s="2076"/>
      <c r="ACP239" s="2076"/>
      <c r="ACQ239" s="2076"/>
      <c r="ACR239" s="2076"/>
      <c r="ACS239" s="2076"/>
      <c r="ACT239" s="2076"/>
      <c r="ACU239" s="2076"/>
      <c r="ACV239" s="2076"/>
      <c r="ACW239" s="2076"/>
      <c r="ACX239" s="2076"/>
      <c r="ACY239" s="2076"/>
      <c r="ACZ239" s="2076"/>
      <c r="ADA239" s="2076"/>
      <c r="ADB239" s="2076"/>
      <c r="ADC239" s="2076"/>
      <c r="ADD239" s="2076"/>
      <c r="ADE239" s="2076"/>
      <c r="ADF239" s="2076"/>
      <c r="ADG239" s="2076"/>
      <c r="ADH239" s="2076"/>
      <c r="ADI239" s="2076"/>
      <c r="ADJ239" s="2076"/>
      <c r="ADK239" s="2076"/>
      <c r="ADL239" s="2076"/>
      <c r="ADM239" s="2076"/>
      <c r="ADN239" s="2076"/>
      <c r="ADO239" s="2076"/>
      <c r="ADP239" s="2076"/>
      <c r="ADQ239" s="2076"/>
      <c r="ADR239" s="2076"/>
      <c r="ADS239" s="2076"/>
      <c r="ADT239" s="2076"/>
      <c r="ADU239" s="2076"/>
      <c r="ADV239" s="2076"/>
      <c r="ADW239" s="2076"/>
      <c r="ADX239" s="2076"/>
      <c r="ADY239" s="2076"/>
      <c r="ADZ239" s="2076"/>
      <c r="AEA239" s="2076"/>
      <c r="AEB239" s="2076"/>
      <c r="AEC239" s="2076"/>
      <c r="AED239" s="2076"/>
      <c r="AEE239" s="2076"/>
      <c r="AEF239" s="2076"/>
      <c r="AEG239" s="2076"/>
      <c r="AEH239" s="2076"/>
      <c r="AEI239" s="2076"/>
      <c r="AEJ239" s="2076"/>
      <c r="AEK239" s="2076"/>
      <c r="AEL239" s="2076"/>
      <c r="AEM239" s="2076"/>
      <c r="AEN239" s="2076"/>
      <c r="AEO239" s="2076"/>
      <c r="AEP239" s="2076"/>
      <c r="AEQ239" s="2076"/>
      <c r="AER239" s="2076"/>
      <c r="AES239" s="2076"/>
      <c r="AET239" s="2076"/>
      <c r="AEU239" s="2076"/>
      <c r="AEV239" s="2076"/>
      <c r="AEW239" s="2076"/>
      <c r="AEX239" s="2076"/>
      <c r="AEY239" s="2076"/>
      <c r="AEZ239" s="2076"/>
      <c r="AFA239" s="2076"/>
      <c r="AFB239" s="2076"/>
      <c r="AFC239" s="2076"/>
      <c r="AFD239" s="2076"/>
      <c r="AFE239" s="2076"/>
      <c r="AFF239" s="2076"/>
      <c r="AFG239" s="2076"/>
      <c r="AFH239" s="2076"/>
      <c r="AFI239" s="2076"/>
      <c r="AFJ239" s="2076"/>
      <c r="AFK239" s="2076"/>
      <c r="AFL239" s="2076"/>
      <c r="AFM239" s="2076"/>
      <c r="AFN239" s="2076"/>
      <c r="AFO239" s="2076"/>
      <c r="AFP239" s="2076"/>
      <c r="AFQ239" s="2076"/>
      <c r="AFR239" s="2076"/>
      <c r="AFS239" s="2076"/>
      <c r="AFT239" s="2076"/>
      <c r="AFU239" s="2076"/>
      <c r="AFV239" s="2076"/>
      <c r="AFW239" s="2076"/>
      <c r="AFX239" s="2076"/>
      <c r="AFY239" s="2076"/>
      <c r="AFZ239" s="2076"/>
      <c r="AGA239" s="2076"/>
      <c r="AGB239" s="2076"/>
      <c r="AGC239" s="2076"/>
      <c r="AGD239" s="2076"/>
      <c r="AGE239" s="2076"/>
      <c r="AGF239" s="2076"/>
      <c r="AGG239" s="2076"/>
      <c r="AGH239" s="2076"/>
      <c r="AGI239" s="2076"/>
      <c r="AGJ239" s="2076"/>
      <c r="AGK239" s="2076"/>
      <c r="AGL239" s="2076"/>
      <c r="AGM239" s="2076"/>
      <c r="AGN239" s="2076"/>
      <c r="AGO239" s="2076"/>
      <c r="AGP239" s="2076"/>
      <c r="AGQ239" s="2076"/>
      <c r="AGR239" s="2076"/>
      <c r="AGS239" s="2076"/>
      <c r="AGT239" s="2076"/>
      <c r="AGU239" s="2076"/>
      <c r="AGV239" s="2076"/>
      <c r="AGW239" s="2076"/>
      <c r="AGX239" s="2076"/>
      <c r="AGY239" s="2076"/>
      <c r="AGZ239" s="2076"/>
      <c r="AHA239" s="2076"/>
      <c r="AHB239" s="2076"/>
      <c r="AHC239" s="2076"/>
      <c r="AHD239" s="2076"/>
      <c r="AHE239" s="2076"/>
      <c r="AHF239" s="2076"/>
      <c r="AHG239" s="2076"/>
      <c r="AHH239" s="2076"/>
      <c r="AHI239" s="2076"/>
      <c r="AHJ239" s="2076"/>
      <c r="AHK239" s="2076"/>
      <c r="AHL239" s="2076"/>
      <c r="AHM239" s="2076"/>
      <c r="AHN239" s="2076"/>
      <c r="AHO239" s="2076"/>
      <c r="AHP239" s="2076"/>
      <c r="AHQ239" s="2076"/>
      <c r="AHR239" s="2076"/>
      <c r="AHS239" s="2076"/>
      <c r="AHT239" s="2076"/>
      <c r="AHU239" s="2076"/>
      <c r="AHV239" s="2076"/>
      <c r="AHW239" s="2076"/>
      <c r="AHX239" s="2076"/>
      <c r="AHY239" s="2076"/>
      <c r="AHZ239" s="2076"/>
      <c r="AIA239" s="2076"/>
      <c r="AIB239" s="2076"/>
      <c r="AIC239" s="2076"/>
      <c r="AID239" s="2076"/>
      <c r="AIE239" s="2076"/>
      <c r="AIF239" s="2076"/>
      <c r="AIG239" s="2076"/>
      <c r="AIH239" s="2076"/>
      <c r="AII239" s="2076"/>
      <c r="AIJ239" s="2076"/>
      <c r="AIK239" s="2076"/>
      <c r="AIL239" s="2076"/>
      <c r="AIM239" s="2076"/>
      <c r="AIN239" s="2076"/>
      <c r="AIO239" s="2076"/>
      <c r="AIP239" s="2076"/>
      <c r="AIQ239" s="2076"/>
      <c r="AIR239" s="2076"/>
      <c r="AIS239" s="2076"/>
      <c r="AIT239" s="2076"/>
      <c r="AIU239" s="2076"/>
      <c r="AIV239" s="2076"/>
      <c r="AIW239" s="2076"/>
      <c r="AIX239" s="2076"/>
      <c r="AIY239" s="2076"/>
      <c r="AIZ239" s="2076"/>
      <c r="AJA239" s="2076"/>
      <c r="AJB239" s="2076"/>
      <c r="AJC239" s="2076"/>
      <c r="AJD239" s="2076"/>
      <c r="AJE239" s="2076"/>
      <c r="AJF239" s="2076"/>
      <c r="AJG239" s="2076"/>
      <c r="AJH239" s="2076"/>
      <c r="AJI239" s="2076"/>
      <c r="AJJ239" s="2076"/>
      <c r="AJK239" s="2076"/>
      <c r="AJL239" s="2076"/>
      <c r="AJM239" s="2076"/>
      <c r="AJN239" s="2076"/>
      <c r="AJO239" s="2076"/>
      <c r="AJP239" s="2076"/>
      <c r="AJQ239" s="2076"/>
      <c r="AJR239" s="2076"/>
      <c r="AJS239" s="2076"/>
      <c r="AJT239" s="2076"/>
      <c r="AJU239" s="2076"/>
      <c r="AJV239" s="2076"/>
      <c r="AJW239" s="2076"/>
      <c r="AJX239" s="2076"/>
      <c r="AJY239" s="2076"/>
      <c r="AJZ239" s="2076"/>
      <c r="AKA239" s="2076"/>
      <c r="AKB239" s="2076"/>
      <c r="AKC239" s="2076"/>
      <c r="AKD239" s="2076"/>
      <c r="AKE239" s="2076"/>
      <c r="AKF239" s="2076"/>
      <c r="AKG239" s="2076"/>
      <c r="AKH239" s="2076"/>
      <c r="AKI239" s="2076"/>
      <c r="AKJ239" s="2076"/>
      <c r="AKK239" s="2076"/>
      <c r="AKL239" s="2076"/>
      <c r="AKM239" s="2076"/>
      <c r="AKN239" s="2076"/>
      <c r="AKO239" s="2076"/>
      <c r="AKP239" s="2076"/>
      <c r="AKQ239" s="2076"/>
      <c r="AKR239" s="2076"/>
      <c r="AKS239" s="2076"/>
      <c r="AKT239" s="2076"/>
      <c r="AKU239" s="2076"/>
      <c r="AKV239" s="2076"/>
      <c r="AKW239" s="2076"/>
      <c r="AKX239" s="2076"/>
      <c r="AKY239" s="2076"/>
      <c r="AKZ239" s="2076"/>
      <c r="ALA239" s="2076"/>
      <c r="ALB239" s="2076"/>
      <c r="ALC239" s="2076"/>
      <c r="ALD239" s="2076"/>
      <c r="ALE239" s="2076"/>
      <c r="ALF239" s="2076"/>
      <c r="ALG239" s="2076"/>
      <c r="ALH239" s="2076"/>
      <c r="ALI239" s="2076"/>
      <c r="ALJ239" s="2076"/>
      <c r="ALK239" s="2076"/>
      <c r="ALL239" s="2076"/>
      <c r="ALM239" s="2076"/>
      <c r="ALN239" s="2076"/>
      <c r="ALO239" s="2076"/>
      <c r="ALP239" s="2076"/>
      <c r="ALQ239" s="2076"/>
      <c r="ALR239" s="2076"/>
      <c r="ALS239" s="2076"/>
      <c r="ALT239" s="2076"/>
      <c r="ALU239" s="2076"/>
      <c r="ALV239" s="2076"/>
      <c r="ALW239" s="2076"/>
      <c r="ALX239" s="2076"/>
      <c r="ALY239" s="2076"/>
      <c r="ALZ239" s="2076"/>
      <c r="AMA239" s="2076"/>
      <c r="AMB239" s="2076"/>
      <c r="AMC239" s="2076"/>
      <c r="AMD239" s="2076"/>
      <c r="AME239" s="2076"/>
      <c r="AMF239" s="2076"/>
      <c r="AMG239" s="2076"/>
      <c r="AMH239" s="2076"/>
      <c r="AMI239" s="2076"/>
      <c r="AMJ239" s="2076"/>
      <c r="AMK239" s="2076"/>
      <c r="AML239" s="2076"/>
      <c r="AMM239" s="2076"/>
      <c r="AMN239" s="2076"/>
      <c r="AMO239" s="2076"/>
      <c r="AMP239" s="2076"/>
      <c r="AMQ239" s="2076"/>
      <c r="AMR239" s="2076"/>
      <c r="AMS239" s="2076"/>
      <c r="AMT239" s="2076"/>
      <c r="AMU239" s="2076"/>
      <c r="AMV239" s="2076"/>
      <c r="AMW239" s="2076"/>
      <c r="AMX239" s="2076"/>
      <c r="AMY239" s="2076"/>
      <c r="AMZ239" s="2076"/>
      <c r="ANA239" s="2076"/>
      <c r="ANB239" s="2076"/>
      <c r="ANC239" s="2076"/>
      <c r="AND239" s="2076"/>
      <c r="ANE239" s="2076"/>
      <c r="ANF239" s="2076"/>
      <c r="ANG239" s="2076"/>
      <c r="ANH239" s="2076"/>
      <c r="ANI239" s="2076"/>
      <c r="ANJ239" s="2076"/>
      <c r="ANK239" s="2076"/>
      <c r="ANL239" s="2076"/>
      <c r="ANM239" s="2076"/>
      <c r="ANN239" s="2076"/>
      <c r="ANO239" s="2076"/>
      <c r="ANP239" s="2076"/>
      <c r="ANQ239" s="2076"/>
      <c r="ANR239" s="2076"/>
      <c r="ANS239" s="2076"/>
      <c r="ANT239" s="2076"/>
      <c r="ANU239" s="2076"/>
      <c r="ANV239" s="2076"/>
      <c r="ANW239" s="2076"/>
      <c r="ANX239" s="2076"/>
      <c r="ANY239" s="2076"/>
      <c r="ANZ239" s="2076"/>
      <c r="AOA239" s="2076"/>
      <c r="AOB239" s="2076"/>
      <c r="AOC239" s="2076"/>
      <c r="AOD239" s="2076"/>
      <c r="AOE239" s="2076"/>
      <c r="AOF239" s="2076"/>
      <c r="AOG239" s="2076"/>
      <c r="AOH239" s="2076"/>
      <c r="AOI239" s="2076"/>
      <c r="AOJ239" s="2076"/>
      <c r="AOK239" s="2076"/>
      <c r="AOL239" s="2076"/>
      <c r="AOM239" s="2076"/>
      <c r="AON239" s="2076"/>
      <c r="AOO239" s="2076"/>
      <c r="AOP239" s="2076"/>
      <c r="AOQ239" s="2076"/>
      <c r="AOR239" s="2076"/>
      <c r="AOS239" s="2076"/>
      <c r="AOT239" s="2076"/>
      <c r="AOU239" s="2076"/>
      <c r="AOV239" s="2076"/>
      <c r="AOW239" s="2076"/>
      <c r="AOX239" s="2076"/>
      <c r="AOY239" s="2076"/>
      <c r="AOZ239" s="2076"/>
      <c r="APA239" s="2076"/>
      <c r="APB239" s="2076"/>
      <c r="APC239" s="2076"/>
      <c r="APD239" s="2076"/>
      <c r="APE239" s="2076"/>
      <c r="APF239" s="2076"/>
      <c r="APG239" s="2076"/>
      <c r="APH239" s="2076"/>
      <c r="API239" s="2076"/>
      <c r="APJ239" s="2076"/>
      <c r="APK239" s="2076"/>
      <c r="APL239" s="2076"/>
      <c r="APM239" s="2076"/>
      <c r="APN239" s="2076"/>
      <c r="APO239" s="2076"/>
      <c r="APP239" s="2076"/>
      <c r="APQ239" s="2076"/>
      <c r="APR239" s="2076"/>
      <c r="APS239" s="2076"/>
      <c r="APT239" s="2076"/>
      <c r="APU239" s="2076"/>
      <c r="APV239" s="2076"/>
      <c r="APW239" s="2076"/>
      <c r="APX239" s="2076"/>
      <c r="APY239" s="2076"/>
      <c r="APZ239" s="2076"/>
      <c r="AQA239" s="2076"/>
      <c r="AQB239" s="2076"/>
      <c r="AQC239" s="2076"/>
      <c r="AQD239" s="2076"/>
      <c r="AQE239" s="2076"/>
      <c r="AQF239" s="2076"/>
      <c r="AQG239" s="2076"/>
      <c r="AQH239" s="2076"/>
      <c r="AQI239" s="2076"/>
      <c r="AQJ239" s="2076"/>
      <c r="AQK239" s="2076"/>
      <c r="AQL239" s="2076"/>
      <c r="AQM239" s="2076"/>
      <c r="AQN239" s="2076"/>
      <c r="AQO239" s="2076"/>
      <c r="AQP239" s="2076"/>
      <c r="AQQ239" s="2076"/>
      <c r="AQR239" s="2076"/>
      <c r="AQS239" s="2076"/>
      <c r="AQT239" s="2076"/>
      <c r="AQU239" s="2076"/>
      <c r="AQV239" s="2076"/>
      <c r="AQW239" s="2076"/>
      <c r="AQX239" s="2076"/>
      <c r="AQY239" s="2076"/>
      <c r="AQZ239" s="2076"/>
      <c r="ARA239" s="2076"/>
      <c r="ARB239" s="2076"/>
      <c r="ARC239" s="2076"/>
      <c r="ARD239" s="2076"/>
      <c r="ARE239" s="2076"/>
      <c r="ARF239" s="2076"/>
      <c r="ARG239" s="2076"/>
      <c r="ARH239" s="2076"/>
      <c r="ARI239" s="2076"/>
      <c r="ARJ239" s="2076"/>
      <c r="ARK239" s="2076"/>
      <c r="ARL239" s="2076"/>
      <c r="ARM239" s="2076"/>
      <c r="ARN239" s="2076"/>
      <c r="ARO239" s="2076"/>
      <c r="ARP239" s="2076"/>
      <c r="ARQ239" s="2076"/>
      <c r="ARR239" s="2076"/>
      <c r="ARS239" s="2076"/>
      <c r="ART239" s="2076"/>
      <c r="ARU239" s="2076"/>
      <c r="ARV239" s="2076"/>
      <c r="ARW239" s="2076"/>
      <c r="ARX239" s="2076"/>
      <c r="ARY239" s="2076"/>
      <c r="ARZ239" s="2076"/>
      <c r="ASA239" s="2076"/>
      <c r="ASB239" s="2076"/>
      <c r="ASC239" s="2076"/>
      <c r="ASD239" s="2076"/>
      <c r="ASE239" s="2076"/>
      <c r="ASF239" s="2076"/>
      <c r="ASG239" s="2076"/>
      <c r="ASH239" s="2076"/>
      <c r="ASI239" s="2076"/>
      <c r="ASJ239" s="2076"/>
      <c r="ASK239" s="2076"/>
      <c r="ASL239" s="2076"/>
      <c r="ASM239" s="2076"/>
      <c r="ASN239" s="2076"/>
      <c r="ASO239" s="2076"/>
      <c r="ASP239" s="2076"/>
      <c r="ASQ239" s="2076"/>
      <c r="ASR239" s="2076"/>
      <c r="ASS239" s="2076"/>
      <c r="AST239" s="2076"/>
      <c r="ASU239" s="2076"/>
      <c r="ASV239" s="2076"/>
      <c r="ASW239" s="2076"/>
      <c r="ASX239" s="2076"/>
      <c r="ASY239" s="2076"/>
      <c r="ASZ239" s="2076"/>
      <c r="ATA239" s="2076"/>
      <c r="ATB239" s="2076"/>
      <c r="ATC239" s="2076"/>
      <c r="ATD239" s="2076"/>
      <c r="ATE239" s="2076"/>
      <c r="ATF239" s="2076"/>
      <c r="ATG239" s="2076"/>
      <c r="ATH239" s="2076"/>
      <c r="ATI239" s="2076"/>
      <c r="ATJ239" s="2076"/>
      <c r="ATK239" s="2076"/>
      <c r="ATL239" s="2076"/>
      <c r="ATM239" s="2076"/>
      <c r="ATN239" s="2076"/>
      <c r="ATO239" s="2076"/>
      <c r="ATP239" s="2076"/>
      <c r="ATQ239" s="2076"/>
      <c r="ATR239" s="2076"/>
      <c r="ATS239" s="2076"/>
      <c r="ATT239" s="2076"/>
      <c r="ATU239" s="2076"/>
      <c r="ATV239" s="2076"/>
      <c r="ATW239" s="2076"/>
      <c r="ATX239" s="2076"/>
      <c r="ATY239" s="2076"/>
      <c r="ATZ239" s="2076"/>
      <c r="AUA239" s="2076"/>
      <c r="AUB239" s="2076"/>
      <c r="AUC239" s="2076"/>
      <c r="AUD239" s="2076"/>
      <c r="AUE239" s="2076"/>
      <c r="AUF239" s="2076"/>
      <c r="AUG239" s="2076"/>
      <c r="AUH239" s="2076"/>
      <c r="AUI239" s="2076"/>
      <c r="AUJ239" s="2076"/>
      <c r="AUK239" s="2076"/>
      <c r="AUL239" s="2076"/>
      <c r="AUM239" s="2076"/>
      <c r="AUN239" s="2076"/>
      <c r="AUO239" s="2076"/>
      <c r="AUP239" s="2076"/>
      <c r="AUQ239" s="2076"/>
      <c r="AUR239" s="2076"/>
      <c r="AUS239" s="2076"/>
      <c r="AUT239" s="2076"/>
      <c r="AUU239" s="2076"/>
      <c r="AUV239" s="2076"/>
      <c r="AUW239" s="2076"/>
      <c r="AUX239" s="2076"/>
      <c r="AUY239" s="2076"/>
      <c r="AUZ239" s="2076"/>
      <c r="AVA239" s="2076"/>
      <c r="AVB239" s="2076"/>
      <c r="AVC239" s="2076"/>
      <c r="AVD239" s="2076"/>
      <c r="AVE239" s="2076"/>
      <c r="AVF239" s="2076"/>
      <c r="AVG239" s="2076"/>
      <c r="AVH239" s="2076"/>
      <c r="AVI239" s="2076"/>
      <c r="AVJ239" s="2076"/>
      <c r="AVK239" s="2076"/>
      <c r="AVL239" s="2076"/>
      <c r="AVM239" s="2076"/>
      <c r="AVN239" s="2076"/>
      <c r="AVO239" s="2076"/>
      <c r="AVP239" s="2076"/>
      <c r="AVQ239" s="2076"/>
      <c r="AVR239" s="2076"/>
      <c r="AVS239" s="2076"/>
      <c r="AVT239" s="2076"/>
      <c r="AVU239" s="2076"/>
      <c r="AVV239" s="2076"/>
      <c r="AVW239" s="2076"/>
      <c r="AVX239" s="2076"/>
      <c r="AVY239" s="2076"/>
      <c r="AVZ239" s="2076"/>
      <c r="AWA239" s="2076"/>
      <c r="AWB239" s="2076"/>
      <c r="AWC239" s="2076"/>
      <c r="AWD239" s="2076"/>
      <c r="AWE239" s="2076"/>
      <c r="AWF239" s="2076"/>
      <c r="AWG239" s="2076"/>
      <c r="AWH239" s="2076"/>
      <c r="AWI239" s="2076"/>
      <c r="AWJ239" s="2076"/>
      <c r="AWK239" s="2076"/>
      <c r="AWL239" s="2076"/>
      <c r="AWM239" s="2076"/>
      <c r="AWN239" s="2076"/>
      <c r="AWO239" s="2076"/>
      <c r="AWP239" s="2076"/>
      <c r="AWQ239" s="2076"/>
      <c r="AWR239" s="2076"/>
      <c r="AWS239" s="2076"/>
      <c r="AWT239" s="2076"/>
      <c r="AWU239" s="2076"/>
      <c r="AWV239" s="2076"/>
      <c r="AWW239" s="2076"/>
      <c r="AWX239" s="2076"/>
      <c r="AWY239" s="2076"/>
      <c r="AWZ239" s="2076"/>
      <c r="AXA239" s="2076"/>
      <c r="AXB239" s="2076"/>
      <c r="AXC239" s="2076"/>
      <c r="AXD239" s="2076"/>
      <c r="AXE239" s="2076"/>
      <c r="AXF239" s="2076"/>
      <c r="AXG239" s="2076"/>
      <c r="AXH239" s="2076"/>
      <c r="AXI239" s="2076"/>
      <c r="AXJ239" s="2076"/>
    </row>
    <row r="240" spans="1:1310" ht="20.100000000000001" customHeight="1">
      <c r="A240" s="2092"/>
      <c r="B240" s="54"/>
      <c r="C240" s="54"/>
      <c r="D240" s="54"/>
      <c r="E240" s="1029"/>
      <c r="F240" s="1029"/>
      <c r="G240" s="54"/>
      <c r="H240" s="54"/>
      <c r="I240" s="54"/>
      <c r="J240" s="54"/>
      <c r="K240" s="54"/>
      <c r="L240" s="58"/>
      <c r="M240" s="58"/>
      <c r="N240" s="58"/>
      <c r="O240" s="58"/>
      <c r="P240" s="58"/>
      <c r="Q240" s="58"/>
    </row>
    <row r="241" spans="1:1310" ht="20.100000000000001" customHeight="1">
      <c r="A241" s="2092"/>
      <c r="B241" s="3234" t="s">
        <v>2403</v>
      </c>
      <c r="C241" s="3234"/>
      <c r="D241" s="3234"/>
      <c r="E241" s="2080" t="s">
        <v>2399</v>
      </c>
      <c r="F241" s="2081"/>
      <c r="G241" s="2080" t="s">
        <v>2400</v>
      </c>
      <c r="H241" s="2082"/>
      <c r="I241" s="54"/>
      <c r="J241" s="2080" t="s">
        <v>2401</v>
      </c>
      <c r="K241" s="2082"/>
      <c r="L241" s="58"/>
      <c r="M241" s="2083" t="s">
        <v>2402</v>
      </c>
      <c r="Q241" s="58"/>
    </row>
    <row r="242" spans="1:1310" ht="20.100000000000001" customHeight="1">
      <c r="A242" s="2092"/>
      <c r="B242" s="54"/>
      <c r="C242" s="54"/>
      <c r="D242" s="54"/>
      <c r="E242" s="1029"/>
      <c r="F242" s="1029"/>
      <c r="G242" s="54"/>
      <c r="H242" s="54"/>
      <c r="I242" s="54"/>
      <c r="J242" s="54"/>
      <c r="K242" s="54"/>
      <c r="L242" s="58"/>
      <c r="M242" s="58"/>
      <c r="N242" s="58"/>
      <c r="O242" s="58"/>
      <c r="P242" s="58"/>
      <c r="Q242" s="58"/>
    </row>
    <row r="243" spans="1:1310" s="2077" customFormat="1" ht="23.25" customHeight="1">
      <c r="A243" s="2092"/>
      <c r="B243" s="2096"/>
      <c r="C243" s="2096"/>
      <c r="D243" s="2096"/>
      <c r="E243" s="2096"/>
      <c r="F243" s="2096"/>
      <c r="G243" s="2096"/>
      <c r="H243" s="2096"/>
      <c r="I243" s="2096"/>
      <c r="J243" s="2096"/>
      <c r="K243" s="2096"/>
      <c r="L243" s="2096"/>
      <c r="M243" s="2096"/>
      <c r="N243" s="2096"/>
      <c r="O243" s="2096"/>
      <c r="P243" s="2096"/>
      <c r="Q243" s="2096"/>
      <c r="R243" s="755"/>
      <c r="S243" s="755"/>
      <c r="T243" s="755"/>
      <c r="U243" s="755"/>
      <c r="V243" s="755"/>
      <c r="W243" s="755"/>
      <c r="X243" s="755"/>
      <c r="Y243" s="755"/>
      <c r="Z243" s="755"/>
      <c r="AA243" s="755"/>
      <c r="AB243" s="755"/>
      <c r="AC243" s="755"/>
      <c r="AD243" s="2075"/>
      <c r="AE243" s="2075"/>
      <c r="AF243" s="2075"/>
      <c r="AG243" s="2075"/>
      <c r="AH243" s="2075"/>
      <c r="AI243" s="2075"/>
      <c r="AJ243" s="2075"/>
      <c r="AK243" s="2075"/>
      <c r="AL243" s="2075"/>
      <c r="AM243" s="2075"/>
      <c r="AN243" s="2075"/>
      <c r="AO243" s="2075"/>
      <c r="AP243" s="2075"/>
      <c r="AQ243" s="2075"/>
      <c r="AR243" s="2075"/>
      <c r="AS243" s="2075"/>
      <c r="AT243" s="2075"/>
      <c r="AU243" s="2075"/>
      <c r="AV243" s="2076"/>
      <c r="AW243" s="2076"/>
      <c r="AX243" s="2076"/>
      <c r="AY243" s="2076"/>
      <c r="AZ243" s="2076"/>
      <c r="BA243" s="2076"/>
      <c r="BB243" s="2076"/>
      <c r="BC243" s="2076"/>
      <c r="BD243" s="2076"/>
      <c r="BE243" s="2076"/>
      <c r="BF243" s="2076"/>
      <c r="BG243" s="2076"/>
      <c r="BH243" s="2076"/>
      <c r="BI243" s="2076"/>
      <c r="BJ243" s="2076"/>
      <c r="BK243" s="2076"/>
      <c r="BL243" s="2076"/>
      <c r="BM243" s="2076"/>
      <c r="BN243" s="2076"/>
      <c r="BO243" s="2076"/>
      <c r="BP243" s="2076"/>
      <c r="BQ243" s="2076"/>
      <c r="BR243" s="2076"/>
      <c r="BS243" s="2076"/>
      <c r="BT243" s="2076"/>
      <c r="BU243" s="2076"/>
      <c r="BV243" s="2076"/>
      <c r="BW243" s="2076"/>
      <c r="BX243" s="2076"/>
      <c r="BY243" s="2076"/>
      <c r="BZ243" s="2076"/>
      <c r="CA243" s="2076"/>
      <c r="CB243" s="2076"/>
      <c r="CC243" s="2076"/>
      <c r="CD243" s="2076"/>
      <c r="CE243" s="2076"/>
      <c r="CF243" s="2076"/>
      <c r="CG243" s="2076"/>
      <c r="CH243" s="2076"/>
      <c r="CI243" s="2076"/>
      <c r="CJ243" s="2076"/>
      <c r="CK243" s="2076"/>
      <c r="CL243" s="2076"/>
      <c r="CM243" s="2076"/>
      <c r="CN243" s="2076"/>
      <c r="CO243" s="2076"/>
      <c r="CP243" s="2076"/>
      <c r="CQ243" s="2076"/>
      <c r="CR243" s="2076"/>
      <c r="CS243" s="2076"/>
      <c r="CT243" s="2076"/>
      <c r="CU243" s="2076"/>
      <c r="CV243" s="2076"/>
      <c r="CW243" s="2076"/>
      <c r="CX243" s="2076"/>
      <c r="CY243" s="2076"/>
      <c r="CZ243" s="2076"/>
      <c r="DA243" s="2076"/>
      <c r="DB243" s="2076"/>
      <c r="DC243" s="2076"/>
      <c r="DD243" s="2076"/>
      <c r="DE243" s="2076"/>
      <c r="DF243" s="2076"/>
      <c r="DG243" s="2076"/>
      <c r="DH243" s="2076"/>
      <c r="DI243" s="2076"/>
      <c r="DJ243" s="2076"/>
      <c r="DK243" s="2076"/>
      <c r="DL243" s="2076"/>
      <c r="DM243" s="2076"/>
      <c r="DN243" s="2076"/>
      <c r="DO243" s="2076"/>
      <c r="DP243" s="2076"/>
      <c r="DQ243" s="2076"/>
      <c r="DR243" s="2076"/>
      <c r="DS243" s="2076"/>
      <c r="DT243" s="2076"/>
      <c r="DU243" s="2076"/>
      <c r="DV243" s="2076"/>
      <c r="DW243" s="2076"/>
      <c r="DX243" s="2076"/>
      <c r="DY243" s="2076"/>
      <c r="DZ243" s="2076"/>
      <c r="EA243" s="2076"/>
      <c r="EB243" s="2076"/>
      <c r="EC243" s="2076"/>
      <c r="ED243" s="2076"/>
      <c r="EE243" s="2076"/>
      <c r="EF243" s="2076"/>
      <c r="EG243" s="2076"/>
      <c r="EH243" s="2076"/>
      <c r="EI243" s="2076"/>
      <c r="EJ243" s="2076"/>
      <c r="EK243" s="2076"/>
      <c r="EL243" s="2076"/>
      <c r="EM243" s="2076"/>
      <c r="EN243" s="2076"/>
      <c r="EO243" s="2076"/>
      <c r="EP243" s="2076"/>
      <c r="EQ243" s="2076"/>
      <c r="ER243" s="2076"/>
      <c r="ES243" s="2076"/>
      <c r="ET243" s="2076"/>
      <c r="EU243" s="2076"/>
      <c r="EV243" s="2076"/>
      <c r="EW243" s="2076"/>
      <c r="EX243" s="2076"/>
      <c r="EY243" s="2076"/>
      <c r="EZ243" s="2076"/>
      <c r="FA243" s="2076"/>
      <c r="FB243" s="2076"/>
      <c r="FC243" s="2076"/>
      <c r="FD243" s="2076"/>
      <c r="FE243" s="2076"/>
      <c r="FF243" s="2076"/>
      <c r="FG243" s="2076"/>
      <c r="FH243" s="2076"/>
      <c r="FI243" s="2076"/>
      <c r="FJ243" s="2076"/>
      <c r="FK243" s="2076"/>
      <c r="FL243" s="2076"/>
      <c r="FM243" s="2076"/>
      <c r="FN243" s="2076"/>
      <c r="FO243" s="2076"/>
      <c r="FP243" s="2076"/>
      <c r="FQ243" s="2076"/>
      <c r="FR243" s="2076"/>
      <c r="FS243" s="2076"/>
      <c r="FT243" s="2076"/>
      <c r="FU243" s="2076"/>
      <c r="FV243" s="2076"/>
      <c r="FW243" s="2076"/>
      <c r="FX243" s="2076"/>
      <c r="FY243" s="2076"/>
      <c r="FZ243" s="2076"/>
      <c r="GA243" s="2076"/>
      <c r="GB243" s="2076"/>
      <c r="GC243" s="2076"/>
      <c r="GD243" s="2076"/>
      <c r="GE243" s="2076"/>
      <c r="GF243" s="2076"/>
      <c r="GG243" s="2076"/>
      <c r="GH243" s="2076"/>
      <c r="GI243" s="2076"/>
      <c r="GJ243" s="2076"/>
      <c r="GK243" s="2076"/>
      <c r="GL243" s="2076"/>
      <c r="GM243" s="2076"/>
      <c r="GN243" s="2076"/>
      <c r="GO243" s="2076"/>
      <c r="GP243" s="2076"/>
      <c r="GQ243" s="2076"/>
      <c r="GR243" s="2076"/>
      <c r="GS243" s="2076"/>
      <c r="GT243" s="2076"/>
      <c r="GU243" s="2076"/>
      <c r="GV243" s="2076"/>
      <c r="GW243" s="2076"/>
      <c r="GX243" s="2076"/>
      <c r="GY243" s="2076"/>
      <c r="GZ243" s="2076"/>
      <c r="HA243" s="2076"/>
      <c r="HB243" s="2076"/>
      <c r="HC243" s="2076"/>
      <c r="HD243" s="2076"/>
      <c r="HE243" s="2076"/>
      <c r="HF243" s="2076"/>
      <c r="HG243" s="2076"/>
      <c r="HH243" s="2076"/>
      <c r="HI243" s="2076"/>
      <c r="HJ243" s="2076"/>
      <c r="HK243" s="2076"/>
      <c r="HL243" s="2076"/>
      <c r="HM243" s="2076"/>
      <c r="HN243" s="2076"/>
      <c r="HO243" s="2076"/>
      <c r="HP243" s="2076"/>
      <c r="HQ243" s="2076"/>
      <c r="HR243" s="2076"/>
      <c r="HS243" s="2076"/>
      <c r="HT243" s="2076"/>
      <c r="HU243" s="2076"/>
      <c r="HV243" s="2076"/>
      <c r="HW243" s="2076"/>
      <c r="HX243" s="2076"/>
      <c r="HY243" s="2076"/>
      <c r="HZ243" s="2076"/>
      <c r="IA243" s="2076"/>
      <c r="IB243" s="2076"/>
      <c r="IC243" s="2076"/>
      <c r="ID243" s="2076"/>
      <c r="IE243" s="2076"/>
      <c r="IF243" s="2076"/>
      <c r="IG243" s="2076"/>
      <c r="IH243" s="2076"/>
      <c r="II243" s="2076"/>
      <c r="IJ243" s="2076"/>
      <c r="IK243" s="2076"/>
      <c r="IL243" s="2076"/>
      <c r="IM243" s="2076"/>
      <c r="IN243" s="2076"/>
      <c r="IO243" s="2076"/>
      <c r="IP243" s="2076"/>
      <c r="IQ243" s="2076"/>
      <c r="IR243" s="2076"/>
      <c r="IS243" s="2076"/>
      <c r="IT243" s="2076"/>
      <c r="IU243" s="2076"/>
      <c r="IV243" s="2076"/>
      <c r="IW243" s="2076"/>
      <c r="IX243" s="2076"/>
      <c r="IY243" s="2076"/>
      <c r="IZ243" s="2076"/>
      <c r="JA243" s="2076"/>
      <c r="JB243" s="2076"/>
      <c r="JC243" s="2076"/>
      <c r="JD243" s="2076"/>
      <c r="JE243" s="2076"/>
      <c r="JF243" s="2076"/>
      <c r="JG243" s="2076"/>
      <c r="JH243" s="2076"/>
      <c r="JI243" s="2076"/>
      <c r="JJ243" s="2076"/>
      <c r="JK243" s="2076"/>
      <c r="JL243" s="2076"/>
      <c r="JM243" s="2076"/>
      <c r="JN243" s="2076"/>
      <c r="JO243" s="2076"/>
      <c r="JP243" s="2076"/>
      <c r="JQ243" s="2076"/>
      <c r="JR243" s="2076"/>
      <c r="JS243" s="2076"/>
      <c r="JT243" s="2076"/>
      <c r="JU243" s="2076"/>
      <c r="JV243" s="2076"/>
      <c r="JW243" s="2076"/>
      <c r="JX243" s="2076"/>
      <c r="JY243" s="2076"/>
      <c r="JZ243" s="2076"/>
      <c r="KA243" s="2076"/>
      <c r="KB243" s="2076"/>
      <c r="KC243" s="2076"/>
      <c r="KD243" s="2076"/>
      <c r="KE243" s="2076"/>
      <c r="KF243" s="2076"/>
      <c r="KG243" s="2076"/>
      <c r="KH243" s="2076"/>
      <c r="KI243" s="2076"/>
      <c r="KJ243" s="2076"/>
      <c r="KK243" s="2076"/>
      <c r="KL243" s="2076"/>
      <c r="KM243" s="2076"/>
      <c r="KN243" s="2076"/>
      <c r="KO243" s="2076"/>
      <c r="KP243" s="2076"/>
      <c r="KQ243" s="2076"/>
      <c r="KR243" s="2076"/>
      <c r="KS243" s="2076"/>
      <c r="KT243" s="2076"/>
      <c r="KU243" s="2076"/>
      <c r="KV243" s="2076"/>
      <c r="KW243" s="2076"/>
      <c r="KX243" s="2076"/>
      <c r="KY243" s="2076"/>
      <c r="KZ243" s="2076"/>
      <c r="LA243" s="2076"/>
      <c r="LB243" s="2076"/>
      <c r="LC243" s="2076"/>
      <c r="LD243" s="2076"/>
      <c r="LE243" s="2076"/>
      <c r="LF243" s="2076"/>
      <c r="LG243" s="2076"/>
      <c r="LH243" s="2076"/>
      <c r="LI243" s="2076"/>
      <c r="LJ243" s="2076"/>
      <c r="LK243" s="2076"/>
      <c r="LL243" s="2076"/>
      <c r="LM243" s="2076"/>
      <c r="LN243" s="2076"/>
      <c r="LO243" s="2076"/>
      <c r="LP243" s="2076"/>
      <c r="LQ243" s="2076"/>
      <c r="LR243" s="2076"/>
      <c r="LS243" s="2076"/>
      <c r="LT243" s="2076"/>
      <c r="LU243" s="2076"/>
      <c r="LV243" s="2076"/>
      <c r="LW243" s="2076"/>
      <c r="LX243" s="2076"/>
      <c r="LY243" s="2076"/>
      <c r="LZ243" s="2076"/>
      <c r="MA243" s="2076"/>
      <c r="MB243" s="2076"/>
      <c r="MC243" s="2076"/>
      <c r="MD243" s="2076"/>
      <c r="ME243" s="2076"/>
      <c r="MF243" s="2076"/>
      <c r="MG243" s="2076"/>
      <c r="MH243" s="2076"/>
      <c r="MI243" s="2076"/>
      <c r="MJ243" s="2076"/>
      <c r="MK243" s="2076"/>
      <c r="ML243" s="2076"/>
      <c r="MM243" s="2076"/>
      <c r="MN243" s="2076"/>
      <c r="MO243" s="2076"/>
      <c r="MP243" s="2076"/>
      <c r="MQ243" s="2076"/>
      <c r="MR243" s="2076"/>
      <c r="MS243" s="2076"/>
      <c r="MT243" s="2076"/>
      <c r="MU243" s="2076"/>
      <c r="MV243" s="2076"/>
      <c r="MW243" s="2076"/>
      <c r="MX243" s="2076"/>
      <c r="MY243" s="2076"/>
      <c r="MZ243" s="2076"/>
      <c r="NA243" s="2076"/>
      <c r="NB243" s="2076"/>
      <c r="NC243" s="2076"/>
      <c r="ND243" s="2076"/>
      <c r="NE243" s="2076"/>
      <c r="NF243" s="2076"/>
      <c r="NG243" s="2076"/>
      <c r="NH243" s="2076"/>
      <c r="NI243" s="2076"/>
      <c r="NJ243" s="2076"/>
      <c r="NK243" s="2076"/>
      <c r="NL243" s="2076"/>
      <c r="NM243" s="2076"/>
      <c r="NN243" s="2076"/>
      <c r="NO243" s="2076"/>
      <c r="NP243" s="2076"/>
      <c r="NQ243" s="2076"/>
      <c r="NR243" s="2076"/>
      <c r="NS243" s="2076"/>
      <c r="NT243" s="2076"/>
      <c r="NU243" s="2076"/>
      <c r="NV243" s="2076"/>
      <c r="NW243" s="2076"/>
      <c r="NX243" s="2076"/>
      <c r="NY243" s="2076"/>
      <c r="NZ243" s="2076"/>
      <c r="OA243" s="2076"/>
      <c r="OB243" s="2076"/>
      <c r="OC243" s="2076"/>
      <c r="OD243" s="2076"/>
      <c r="OE243" s="2076"/>
      <c r="OF243" s="2076"/>
      <c r="OG243" s="2076"/>
      <c r="OH243" s="2076"/>
      <c r="OI243" s="2076"/>
      <c r="OJ243" s="2076"/>
      <c r="OK243" s="2076"/>
      <c r="OL243" s="2076"/>
      <c r="OM243" s="2076"/>
      <c r="ON243" s="2076"/>
      <c r="OO243" s="2076"/>
      <c r="OP243" s="2076"/>
      <c r="OQ243" s="2076"/>
      <c r="OR243" s="2076"/>
      <c r="OS243" s="2076"/>
      <c r="OT243" s="2076"/>
      <c r="OU243" s="2076"/>
      <c r="OV243" s="2076"/>
      <c r="OW243" s="2076"/>
      <c r="OX243" s="2076"/>
      <c r="OY243" s="2076"/>
      <c r="OZ243" s="2076"/>
      <c r="PA243" s="2076"/>
      <c r="PB243" s="2076"/>
      <c r="PC243" s="2076"/>
      <c r="PD243" s="2076"/>
      <c r="PE243" s="2076"/>
      <c r="PF243" s="2076"/>
      <c r="PG243" s="2076"/>
      <c r="PH243" s="2076"/>
      <c r="PI243" s="2076"/>
      <c r="PJ243" s="2076"/>
      <c r="PK243" s="2076"/>
      <c r="PL243" s="2076"/>
      <c r="PM243" s="2076"/>
      <c r="PN243" s="2076"/>
      <c r="PO243" s="2076"/>
      <c r="PP243" s="2076"/>
      <c r="PQ243" s="2076"/>
      <c r="PR243" s="2076"/>
      <c r="PS243" s="2076"/>
      <c r="PT243" s="2076"/>
      <c r="PU243" s="2076"/>
      <c r="PV243" s="2076"/>
      <c r="PW243" s="2076"/>
      <c r="PX243" s="2076"/>
      <c r="PY243" s="2076"/>
      <c r="PZ243" s="2076"/>
      <c r="QA243" s="2076"/>
      <c r="QB243" s="2076"/>
      <c r="QC243" s="2076"/>
      <c r="QD243" s="2076"/>
      <c r="QE243" s="2076"/>
      <c r="QF243" s="2076"/>
      <c r="QG243" s="2076"/>
      <c r="QH243" s="2076"/>
      <c r="QI243" s="2076"/>
      <c r="QJ243" s="2076"/>
      <c r="QK243" s="2076"/>
      <c r="QL243" s="2076"/>
      <c r="QM243" s="2076"/>
      <c r="QN243" s="2076"/>
      <c r="QO243" s="2076"/>
      <c r="QP243" s="2076"/>
      <c r="QQ243" s="2076"/>
      <c r="QR243" s="2076"/>
      <c r="QS243" s="2076"/>
      <c r="QT243" s="2076"/>
      <c r="QU243" s="2076"/>
      <c r="QV243" s="2076"/>
      <c r="QW243" s="2076"/>
      <c r="QX243" s="2076"/>
      <c r="QY243" s="2076"/>
      <c r="QZ243" s="2076"/>
      <c r="RA243" s="2076"/>
      <c r="RB243" s="2076"/>
      <c r="RC243" s="2076"/>
      <c r="RD243" s="2076"/>
      <c r="RE243" s="2076"/>
      <c r="RF243" s="2076"/>
      <c r="RG243" s="2076"/>
      <c r="RH243" s="2076"/>
      <c r="RI243" s="2076"/>
      <c r="RJ243" s="2076"/>
      <c r="RK243" s="2076"/>
      <c r="RL243" s="2076"/>
      <c r="RM243" s="2076"/>
      <c r="RN243" s="2076"/>
      <c r="RO243" s="2076"/>
      <c r="RP243" s="2076"/>
      <c r="RQ243" s="2076"/>
      <c r="RR243" s="2076"/>
      <c r="RS243" s="2076"/>
      <c r="RT243" s="2076"/>
      <c r="RU243" s="2076"/>
      <c r="RV243" s="2076"/>
      <c r="RW243" s="2076"/>
      <c r="RX243" s="2076"/>
      <c r="RY243" s="2076"/>
      <c r="RZ243" s="2076"/>
      <c r="SA243" s="2076"/>
      <c r="SB243" s="2076"/>
      <c r="SC243" s="2076"/>
      <c r="SD243" s="2076"/>
      <c r="SE243" s="2076"/>
      <c r="SF243" s="2076"/>
      <c r="SG243" s="2076"/>
      <c r="SH243" s="2076"/>
      <c r="SI243" s="2076"/>
      <c r="SJ243" s="2076"/>
      <c r="SK243" s="2076"/>
      <c r="SL243" s="2076"/>
      <c r="SM243" s="2076"/>
      <c r="SN243" s="2076"/>
      <c r="SO243" s="2076"/>
      <c r="SP243" s="2076"/>
      <c r="SQ243" s="2076"/>
      <c r="SR243" s="2076"/>
      <c r="SS243" s="2076"/>
      <c r="ST243" s="2076"/>
      <c r="SU243" s="2076"/>
      <c r="SV243" s="2076"/>
      <c r="SW243" s="2076"/>
      <c r="SX243" s="2076"/>
      <c r="SY243" s="2076"/>
      <c r="SZ243" s="2076"/>
      <c r="TA243" s="2076"/>
      <c r="TB243" s="2076"/>
      <c r="TC243" s="2076"/>
      <c r="TD243" s="2076"/>
      <c r="TE243" s="2076"/>
      <c r="TF243" s="2076"/>
      <c r="TG243" s="2076"/>
      <c r="TH243" s="2076"/>
      <c r="TI243" s="2076"/>
      <c r="TJ243" s="2076"/>
      <c r="TK243" s="2076"/>
      <c r="TL243" s="2076"/>
      <c r="TM243" s="2076"/>
      <c r="TN243" s="2076"/>
      <c r="TO243" s="2076"/>
      <c r="TP243" s="2076"/>
      <c r="TQ243" s="2076"/>
      <c r="TR243" s="2076"/>
      <c r="TS243" s="2076"/>
      <c r="TT243" s="2076"/>
      <c r="TU243" s="2076"/>
      <c r="TV243" s="2076"/>
      <c r="TW243" s="2076"/>
      <c r="TX243" s="2076"/>
      <c r="TY243" s="2076"/>
      <c r="TZ243" s="2076"/>
      <c r="UA243" s="2076"/>
      <c r="UB243" s="2076"/>
      <c r="UC243" s="2076"/>
      <c r="UD243" s="2076"/>
      <c r="UE243" s="2076"/>
      <c r="UF243" s="2076"/>
      <c r="UG243" s="2076"/>
      <c r="UH243" s="2076"/>
      <c r="UI243" s="2076"/>
      <c r="UJ243" s="2076"/>
      <c r="UK243" s="2076"/>
      <c r="UL243" s="2076"/>
      <c r="UM243" s="2076"/>
      <c r="UN243" s="2076"/>
      <c r="UO243" s="2076"/>
      <c r="UP243" s="2076"/>
      <c r="UQ243" s="2076"/>
      <c r="UR243" s="2076"/>
      <c r="US243" s="2076"/>
      <c r="UT243" s="2076"/>
      <c r="UU243" s="2076"/>
      <c r="UV243" s="2076"/>
      <c r="UW243" s="2076"/>
      <c r="UX243" s="2076"/>
      <c r="UY243" s="2076"/>
      <c r="UZ243" s="2076"/>
      <c r="VA243" s="2076"/>
      <c r="VB243" s="2076"/>
      <c r="VC243" s="2076"/>
      <c r="VD243" s="2076"/>
      <c r="VE243" s="2076"/>
      <c r="VF243" s="2076"/>
      <c r="VG243" s="2076"/>
      <c r="VH243" s="2076"/>
      <c r="VI243" s="2076"/>
      <c r="VJ243" s="2076"/>
      <c r="VK243" s="2076"/>
      <c r="VL243" s="2076"/>
      <c r="VM243" s="2076"/>
      <c r="VN243" s="2076"/>
      <c r="VO243" s="2076"/>
      <c r="VP243" s="2076"/>
      <c r="VQ243" s="2076"/>
      <c r="VR243" s="2076"/>
      <c r="VS243" s="2076"/>
      <c r="VT243" s="2076"/>
      <c r="VU243" s="2076"/>
      <c r="VV243" s="2076"/>
      <c r="VW243" s="2076"/>
      <c r="VX243" s="2076"/>
      <c r="VY243" s="2076"/>
      <c r="VZ243" s="2076"/>
      <c r="WA243" s="2076"/>
      <c r="WB243" s="2076"/>
      <c r="WC243" s="2076"/>
      <c r="WD243" s="2076"/>
      <c r="WE243" s="2076"/>
      <c r="WF243" s="2076"/>
      <c r="WG243" s="2076"/>
      <c r="WH243" s="2076"/>
      <c r="WI243" s="2076"/>
      <c r="WJ243" s="2076"/>
      <c r="WK243" s="2076"/>
      <c r="WL243" s="2076"/>
      <c r="WM243" s="2076"/>
      <c r="WN243" s="2076"/>
      <c r="WO243" s="2076"/>
      <c r="WP243" s="2076"/>
      <c r="WQ243" s="2076"/>
      <c r="WR243" s="2076"/>
      <c r="WS243" s="2076"/>
      <c r="WT243" s="2076"/>
      <c r="WU243" s="2076"/>
      <c r="WV243" s="2076"/>
      <c r="WW243" s="2076"/>
      <c r="WX243" s="2076"/>
      <c r="WY243" s="2076"/>
      <c r="WZ243" s="2076"/>
      <c r="XA243" s="2076"/>
      <c r="XB243" s="2076"/>
      <c r="XC243" s="2076"/>
      <c r="XD243" s="2076"/>
      <c r="XE243" s="2076"/>
      <c r="XF243" s="2076"/>
      <c r="XG243" s="2076"/>
      <c r="XH243" s="2076"/>
      <c r="XI243" s="2076"/>
      <c r="XJ243" s="2076"/>
      <c r="XK243" s="2076"/>
      <c r="XL243" s="2076"/>
      <c r="XM243" s="2076"/>
      <c r="XN243" s="2076"/>
      <c r="XO243" s="2076"/>
      <c r="XP243" s="2076"/>
      <c r="XQ243" s="2076"/>
      <c r="XR243" s="2076"/>
      <c r="XS243" s="2076"/>
      <c r="XT243" s="2076"/>
      <c r="XU243" s="2076"/>
      <c r="XV243" s="2076"/>
      <c r="XW243" s="2076"/>
      <c r="XX243" s="2076"/>
      <c r="XY243" s="2076"/>
      <c r="XZ243" s="2076"/>
      <c r="YA243" s="2076"/>
      <c r="YB243" s="2076"/>
      <c r="YC243" s="2076"/>
      <c r="YD243" s="2076"/>
      <c r="YE243" s="2076"/>
      <c r="YF243" s="2076"/>
      <c r="YG243" s="2076"/>
      <c r="YH243" s="2076"/>
      <c r="YI243" s="2076"/>
      <c r="YJ243" s="2076"/>
      <c r="YK243" s="2076"/>
      <c r="YL243" s="2076"/>
      <c r="YM243" s="2076"/>
      <c r="YN243" s="2076"/>
      <c r="YO243" s="2076"/>
      <c r="YP243" s="2076"/>
      <c r="YQ243" s="2076"/>
      <c r="YR243" s="2076"/>
      <c r="YS243" s="2076"/>
      <c r="YT243" s="2076"/>
      <c r="YU243" s="2076"/>
      <c r="YV243" s="2076"/>
      <c r="YW243" s="2076"/>
      <c r="YX243" s="2076"/>
      <c r="YY243" s="2076"/>
      <c r="YZ243" s="2076"/>
      <c r="ZA243" s="2076"/>
      <c r="ZB243" s="2076"/>
      <c r="ZC243" s="2076"/>
      <c r="ZD243" s="2076"/>
      <c r="ZE243" s="2076"/>
      <c r="ZF243" s="2076"/>
      <c r="ZG243" s="2076"/>
      <c r="ZH243" s="2076"/>
      <c r="ZI243" s="2076"/>
      <c r="ZJ243" s="2076"/>
      <c r="ZK243" s="2076"/>
      <c r="ZL243" s="2076"/>
      <c r="ZM243" s="2076"/>
      <c r="ZN243" s="2076"/>
      <c r="ZO243" s="2076"/>
      <c r="ZP243" s="2076"/>
      <c r="ZQ243" s="2076"/>
      <c r="ZR243" s="2076"/>
      <c r="ZS243" s="2076"/>
      <c r="ZT243" s="2076"/>
      <c r="ZU243" s="2076"/>
      <c r="ZV243" s="2076"/>
      <c r="ZW243" s="2076"/>
      <c r="ZX243" s="2076"/>
      <c r="ZY243" s="2076"/>
      <c r="ZZ243" s="2076"/>
      <c r="AAA243" s="2076"/>
      <c r="AAB243" s="2076"/>
      <c r="AAC243" s="2076"/>
      <c r="AAD243" s="2076"/>
      <c r="AAE243" s="2076"/>
      <c r="AAF243" s="2076"/>
      <c r="AAG243" s="2076"/>
      <c r="AAH243" s="2076"/>
      <c r="AAI243" s="2076"/>
      <c r="AAJ243" s="2076"/>
      <c r="AAK243" s="2076"/>
      <c r="AAL243" s="2076"/>
      <c r="AAM243" s="2076"/>
      <c r="AAN243" s="2076"/>
      <c r="AAO243" s="2076"/>
      <c r="AAP243" s="2076"/>
      <c r="AAQ243" s="2076"/>
      <c r="AAR243" s="2076"/>
      <c r="AAS243" s="2076"/>
      <c r="AAT243" s="2076"/>
      <c r="AAU243" s="2076"/>
      <c r="AAV243" s="2076"/>
      <c r="AAW243" s="2076"/>
      <c r="AAX243" s="2076"/>
      <c r="AAY243" s="2076"/>
      <c r="AAZ243" s="2076"/>
      <c r="ABA243" s="2076"/>
      <c r="ABB243" s="2076"/>
      <c r="ABC243" s="2076"/>
      <c r="ABD243" s="2076"/>
      <c r="ABE243" s="2076"/>
      <c r="ABF243" s="2076"/>
      <c r="ABG243" s="2076"/>
      <c r="ABH243" s="2076"/>
      <c r="ABI243" s="2076"/>
      <c r="ABJ243" s="2076"/>
      <c r="ABK243" s="2076"/>
      <c r="ABL243" s="2076"/>
      <c r="ABM243" s="2076"/>
      <c r="ABN243" s="2076"/>
      <c r="ABO243" s="2076"/>
      <c r="ABP243" s="2076"/>
      <c r="ABQ243" s="2076"/>
      <c r="ABR243" s="2076"/>
      <c r="ABS243" s="2076"/>
      <c r="ABT243" s="2076"/>
      <c r="ABU243" s="2076"/>
      <c r="ABV243" s="2076"/>
      <c r="ABW243" s="2076"/>
      <c r="ABX243" s="2076"/>
      <c r="ABY243" s="2076"/>
      <c r="ABZ243" s="2076"/>
      <c r="ACA243" s="2076"/>
      <c r="ACB243" s="2076"/>
      <c r="ACC243" s="2076"/>
      <c r="ACD243" s="2076"/>
      <c r="ACE243" s="2076"/>
      <c r="ACF243" s="2076"/>
      <c r="ACG243" s="2076"/>
      <c r="ACH243" s="2076"/>
      <c r="ACI243" s="2076"/>
      <c r="ACJ243" s="2076"/>
      <c r="ACK243" s="2076"/>
      <c r="ACL243" s="2076"/>
      <c r="ACM243" s="2076"/>
      <c r="ACN243" s="2076"/>
      <c r="ACO243" s="2076"/>
      <c r="ACP243" s="2076"/>
      <c r="ACQ243" s="2076"/>
      <c r="ACR243" s="2076"/>
      <c r="ACS243" s="2076"/>
      <c r="ACT243" s="2076"/>
      <c r="ACU243" s="2076"/>
      <c r="ACV243" s="2076"/>
      <c r="ACW243" s="2076"/>
      <c r="ACX243" s="2076"/>
      <c r="ACY243" s="2076"/>
      <c r="ACZ243" s="2076"/>
      <c r="ADA243" s="2076"/>
      <c r="ADB243" s="2076"/>
      <c r="ADC243" s="2076"/>
      <c r="ADD243" s="2076"/>
      <c r="ADE243" s="2076"/>
      <c r="ADF243" s="2076"/>
      <c r="ADG243" s="2076"/>
      <c r="ADH243" s="2076"/>
      <c r="ADI243" s="2076"/>
      <c r="ADJ243" s="2076"/>
      <c r="ADK243" s="2076"/>
      <c r="ADL243" s="2076"/>
      <c r="ADM243" s="2076"/>
      <c r="ADN243" s="2076"/>
      <c r="ADO243" s="2076"/>
      <c r="ADP243" s="2076"/>
      <c r="ADQ243" s="2076"/>
      <c r="ADR243" s="2076"/>
      <c r="ADS243" s="2076"/>
      <c r="ADT243" s="2076"/>
      <c r="ADU243" s="2076"/>
      <c r="ADV243" s="2076"/>
      <c r="ADW243" s="2076"/>
      <c r="ADX243" s="2076"/>
      <c r="ADY243" s="2076"/>
      <c r="ADZ243" s="2076"/>
      <c r="AEA243" s="2076"/>
      <c r="AEB243" s="2076"/>
      <c r="AEC243" s="2076"/>
      <c r="AED243" s="2076"/>
      <c r="AEE243" s="2076"/>
      <c r="AEF243" s="2076"/>
      <c r="AEG243" s="2076"/>
      <c r="AEH243" s="2076"/>
      <c r="AEI243" s="2076"/>
      <c r="AEJ243" s="2076"/>
      <c r="AEK243" s="2076"/>
      <c r="AEL243" s="2076"/>
      <c r="AEM243" s="2076"/>
      <c r="AEN243" s="2076"/>
      <c r="AEO243" s="2076"/>
      <c r="AEP243" s="2076"/>
      <c r="AEQ243" s="2076"/>
      <c r="AER243" s="2076"/>
      <c r="AES243" s="2076"/>
      <c r="AET243" s="2076"/>
      <c r="AEU243" s="2076"/>
      <c r="AEV243" s="2076"/>
      <c r="AEW243" s="2076"/>
      <c r="AEX243" s="2076"/>
      <c r="AEY243" s="2076"/>
      <c r="AEZ243" s="2076"/>
      <c r="AFA243" s="2076"/>
      <c r="AFB243" s="2076"/>
      <c r="AFC243" s="2076"/>
      <c r="AFD243" s="2076"/>
      <c r="AFE243" s="2076"/>
      <c r="AFF243" s="2076"/>
      <c r="AFG243" s="2076"/>
      <c r="AFH243" s="2076"/>
      <c r="AFI243" s="2076"/>
      <c r="AFJ243" s="2076"/>
      <c r="AFK243" s="2076"/>
      <c r="AFL243" s="2076"/>
      <c r="AFM243" s="2076"/>
      <c r="AFN243" s="2076"/>
      <c r="AFO243" s="2076"/>
      <c r="AFP243" s="2076"/>
      <c r="AFQ243" s="2076"/>
      <c r="AFR243" s="2076"/>
      <c r="AFS243" s="2076"/>
      <c r="AFT243" s="2076"/>
      <c r="AFU243" s="2076"/>
      <c r="AFV243" s="2076"/>
      <c r="AFW243" s="2076"/>
      <c r="AFX243" s="2076"/>
      <c r="AFY243" s="2076"/>
      <c r="AFZ243" s="2076"/>
      <c r="AGA243" s="2076"/>
      <c r="AGB243" s="2076"/>
      <c r="AGC243" s="2076"/>
      <c r="AGD243" s="2076"/>
      <c r="AGE243" s="2076"/>
      <c r="AGF243" s="2076"/>
      <c r="AGG243" s="2076"/>
      <c r="AGH243" s="2076"/>
      <c r="AGI243" s="2076"/>
      <c r="AGJ243" s="2076"/>
      <c r="AGK243" s="2076"/>
      <c r="AGL243" s="2076"/>
      <c r="AGM243" s="2076"/>
      <c r="AGN243" s="2076"/>
      <c r="AGO243" s="2076"/>
      <c r="AGP243" s="2076"/>
      <c r="AGQ243" s="2076"/>
      <c r="AGR243" s="2076"/>
      <c r="AGS243" s="2076"/>
      <c r="AGT243" s="2076"/>
      <c r="AGU243" s="2076"/>
      <c r="AGV243" s="2076"/>
      <c r="AGW243" s="2076"/>
      <c r="AGX243" s="2076"/>
      <c r="AGY243" s="2076"/>
      <c r="AGZ243" s="2076"/>
      <c r="AHA243" s="2076"/>
      <c r="AHB243" s="2076"/>
      <c r="AHC243" s="2076"/>
      <c r="AHD243" s="2076"/>
      <c r="AHE243" s="2076"/>
      <c r="AHF243" s="2076"/>
      <c r="AHG243" s="2076"/>
      <c r="AHH243" s="2076"/>
      <c r="AHI243" s="2076"/>
      <c r="AHJ243" s="2076"/>
      <c r="AHK243" s="2076"/>
      <c r="AHL243" s="2076"/>
      <c r="AHM243" s="2076"/>
      <c r="AHN243" s="2076"/>
      <c r="AHO243" s="2076"/>
      <c r="AHP243" s="2076"/>
      <c r="AHQ243" s="2076"/>
      <c r="AHR243" s="2076"/>
      <c r="AHS243" s="2076"/>
      <c r="AHT243" s="2076"/>
      <c r="AHU243" s="2076"/>
      <c r="AHV243" s="2076"/>
      <c r="AHW243" s="2076"/>
      <c r="AHX243" s="2076"/>
      <c r="AHY243" s="2076"/>
      <c r="AHZ243" s="2076"/>
      <c r="AIA243" s="2076"/>
      <c r="AIB243" s="2076"/>
      <c r="AIC243" s="2076"/>
      <c r="AID243" s="2076"/>
      <c r="AIE243" s="2076"/>
      <c r="AIF243" s="2076"/>
      <c r="AIG243" s="2076"/>
      <c r="AIH243" s="2076"/>
      <c r="AII243" s="2076"/>
      <c r="AIJ243" s="2076"/>
      <c r="AIK243" s="2076"/>
      <c r="AIL243" s="2076"/>
      <c r="AIM243" s="2076"/>
      <c r="AIN243" s="2076"/>
      <c r="AIO243" s="2076"/>
      <c r="AIP243" s="2076"/>
      <c r="AIQ243" s="2076"/>
      <c r="AIR243" s="2076"/>
      <c r="AIS243" s="2076"/>
      <c r="AIT243" s="2076"/>
      <c r="AIU243" s="2076"/>
      <c r="AIV243" s="2076"/>
      <c r="AIW243" s="2076"/>
      <c r="AIX243" s="2076"/>
      <c r="AIY243" s="2076"/>
      <c r="AIZ243" s="2076"/>
      <c r="AJA243" s="2076"/>
      <c r="AJB243" s="2076"/>
      <c r="AJC243" s="2076"/>
      <c r="AJD243" s="2076"/>
      <c r="AJE243" s="2076"/>
      <c r="AJF243" s="2076"/>
      <c r="AJG243" s="2076"/>
      <c r="AJH243" s="2076"/>
      <c r="AJI243" s="2076"/>
      <c r="AJJ243" s="2076"/>
      <c r="AJK243" s="2076"/>
      <c r="AJL243" s="2076"/>
      <c r="AJM243" s="2076"/>
      <c r="AJN243" s="2076"/>
      <c r="AJO243" s="2076"/>
      <c r="AJP243" s="2076"/>
      <c r="AJQ243" s="2076"/>
      <c r="AJR243" s="2076"/>
      <c r="AJS243" s="2076"/>
      <c r="AJT243" s="2076"/>
      <c r="AJU243" s="2076"/>
      <c r="AJV243" s="2076"/>
      <c r="AJW243" s="2076"/>
      <c r="AJX243" s="2076"/>
      <c r="AJY243" s="2076"/>
      <c r="AJZ243" s="2076"/>
      <c r="AKA243" s="2076"/>
      <c r="AKB243" s="2076"/>
      <c r="AKC243" s="2076"/>
      <c r="AKD243" s="2076"/>
      <c r="AKE243" s="2076"/>
      <c r="AKF243" s="2076"/>
      <c r="AKG243" s="2076"/>
      <c r="AKH243" s="2076"/>
      <c r="AKI243" s="2076"/>
      <c r="AKJ243" s="2076"/>
      <c r="AKK243" s="2076"/>
      <c r="AKL243" s="2076"/>
      <c r="AKM243" s="2076"/>
      <c r="AKN243" s="2076"/>
      <c r="AKO243" s="2076"/>
      <c r="AKP243" s="2076"/>
      <c r="AKQ243" s="2076"/>
      <c r="AKR243" s="2076"/>
      <c r="AKS243" s="2076"/>
      <c r="AKT243" s="2076"/>
      <c r="AKU243" s="2076"/>
      <c r="AKV243" s="2076"/>
      <c r="AKW243" s="2076"/>
      <c r="AKX243" s="2076"/>
      <c r="AKY243" s="2076"/>
      <c r="AKZ243" s="2076"/>
      <c r="ALA243" s="2076"/>
      <c r="ALB243" s="2076"/>
      <c r="ALC243" s="2076"/>
      <c r="ALD243" s="2076"/>
      <c r="ALE243" s="2076"/>
      <c r="ALF243" s="2076"/>
      <c r="ALG243" s="2076"/>
      <c r="ALH243" s="2076"/>
      <c r="ALI243" s="2076"/>
      <c r="ALJ243" s="2076"/>
      <c r="ALK243" s="2076"/>
      <c r="ALL243" s="2076"/>
      <c r="ALM243" s="2076"/>
      <c r="ALN243" s="2076"/>
      <c r="ALO243" s="2076"/>
      <c r="ALP243" s="2076"/>
      <c r="ALQ243" s="2076"/>
      <c r="ALR243" s="2076"/>
      <c r="ALS243" s="2076"/>
      <c r="ALT243" s="2076"/>
      <c r="ALU243" s="2076"/>
      <c r="ALV243" s="2076"/>
      <c r="ALW243" s="2076"/>
      <c r="ALX243" s="2076"/>
      <c r="ALY243" s="2076"/>
      <c r="ALZ243" s="2076"/>
      <c r="AMA243" s="2076"/>
      <c r="AMB243" s="2076"/>
      <c r="AMC243" s="2076"/>
      <c r="AMD243" s="2076"/>
      <c r="AME243" s="2076"/>
      <c r="AMF243" s="2076"/>
      <c r="AMG243" s="2076"/>
      <c r="AMH243" s="2076"/>
      <c r="AMI243" s="2076"/>
      <c r="AMJ243" s="2076"/>
      <c r="AMK243" s="2076"/>
      <c r="AML243" s="2076"/>
      <c r="AMM243" s="2076"/>
      <c r="AMN243" s="2076"/>
      <c r="AMO243" s="2076"/>
      <c r="AMP243" s="2076"/>
      <c r="AMQ243" s="2076"/>
      <c r="AMR243" s="2076"/>
      <c r="AMS243" s="2076"/>
      <c r="AMT243" s="2076"/>
      <c r="AMU243" s="2076"/>
      <c r="AMV243" s="2076"/>
      <c r="AMW243" s="2076"/>
      <c r="AMX243" s="2076"/>
      <c r="AMY243" s="2076"/>
      <c r="AMZ243" s="2076"/>
      <c r="ANA243" s="2076"/>
      <c r="ANB243" s="2076"/>
      <c r="ANC243" s="2076"/>
      <c r="AND243" s="2076"/>
      <c r="ANE243" s="2076"/>
      <c r="ANF243" s="2076"/>
      <c r="ANG243" s="2076"/>
      <c r="ANH243" s="2076"/>
      <c r="ANI243" s="2076"/>
      <c r="ANJ243" s="2076"/>
      <c r="ANK243" s="2076"/>
      <c r="ANL243" s="2076"/>
      <c r="ANM243" s="2076"/>
      <c r="ANN243" s="2076"/>
      <c r="ANO243" s="2076"/>
      <c r="ANP243" s="2076"/>
      <c r="ANQ243" s="2076"/>
      <c r="ANR243" s="2076"/>
      <c r="ANS243" s="2076"/>
      <c r="ANT243" s="2076"/>
      <c r="ANU243" s="2076"/>
      <c r="ANV243" s="2076"/>
      <c r="ANW243" s="2076"/>
      <c r="ANX243" s="2076"/>
      <c r="ANY243" s="2076"/>
      <c r="ANZ243" s="2076"/>
      <c r="AOA243" s="2076"/>
      <c r="AOB243" s="2076"/>
      <c r="AOC243" s="2076"/>
      <c r="AOD243" s="2076"/>
      <c r="AOE243" s="2076"/>
      <c r="AOF243" s="2076"/>
      <c r="AOG243" s="2076"/>
      <c r="AOH243" s="2076"/>
      <c r="AOI243" s="2076"/>
      <c r="AOJ243" s="2076"/>
      <c r="AOK243" s="2076"/>
      <c r="AOL243" s="2076"/>
      <c r="AOM243" s="2076"/>
      <c r="AON243" s="2076"/>
      <c r="AOO243" s="2076"/>
      <c r="AOP243" s="2076"/>
      <c r="AOQ243" s="2076"/>
      <c r="AOR243" s="2076"/>
      <c r="AOS243" s="2076"/>
      <c r="AOT243" s="2076"/>
      <c r="AOU243" s="2076"/>
      <c r="AOV243" s="2076"/>
      <c r="AOW243" s="2076"/>
      <c r="AOX243" s="2076"/>
      <c r="AOY243" s="2076"/>
      <c r="AOZ243" s="2076"/>
      <c r="APA243" s="2076"/>
      <c r="APB243" s="2076"/>
      <c r="APC243" s="2076"/>
      <c r="APD243" s="2076"/>
      <c r="APE243" s="2076"/>
      <c r="APF243" s="2076"/>
      <c r="APG243" s="2076"/>
      <c r="APH243" s="2076"/>
      <c r="API243" s="2076"/>
      <c r="APJ243" s="2076"/>
      <c r="APK243" s="2076"/>
      <c r="APL243" s="2076"/>
      <c r="APM243" s="2076"/>
      <c r="APN243" s="2076"/>
      <c r="APO243" s="2076"/>
      <c r="APP243" s="2076"/>
      <c r="APQ243" s="2076"/>
      <c r="APR243" s="2076"/>
      <c r="APS243" s="2076"/>
      <c r="APT243" s="2076"/>
      <c r="APU243" s="2076"/>
      <c r="APV243" s="2076"/>
      <c r="APW243" s="2076"/>
      <c r="APX243" s="2076"/>
      <c r="APY243" s="2076"/>
      <c r="APZ243" s="2076"/>
      <c r="AQA243" s="2076"/>
      <c r="AQB243" s="2076"/>
      <c r="AQC243" s="2076"/>
      <c r="AQD243" s="2076"/>
      <c r="AQE243" s="2076"/>
      <c r="AQF243" s="2076"/>
      <c r="AQG243" s="2076"/>
      <c r="AQH243" s="2076"/>
      <c r="AQI243" s="2076"/>
      <c r="AQJ243" s="2076"/>
      <c r="AQK243" s="2076"/>
      <c r="AQL243" s="2076"/>
      <c r="AQM243" s="2076"/>
      <c r="AQN243" s="2076"/>
      <c r="AQO243" s="2076"/>
      <c r="AQP243" s="2076"/>
      <c r="AQQ243" s="2076"/>
      <c r="AQR243" s="2076"/>
      <c r="AQS243" s="2076"/>
      <c r="AQT243" s="2076"/>
      <c r="AQU243" s="2076"/>
      <c r="AQV243" s="2076"/>
      <c r="AQW243" s="2076"/>
      <c r="AQX243" s="2076"/>
      <c r="AQY243" s="2076"/>
      <c r="AQZ243" s="2076"/>
      <c r="ARA243" s="2076"/>
      <c r="ARB243" s="2076"/>
      <c r="ARC243" s="2076"/>
      <c r="ARD243" s="2076"/>
      <c r="ARE243" s="2076"/>
      <c r="ARF243" s="2076"/>
      <c r="ARG243" s="2076"/>
      <c r="ARH243" s="2076"/>
      <c r="ARI243" s="2076"/>
      <c r="ARJ243" s="2076"/>
      <c r="ARK243" s="2076"/>
      <c r="ARL243" s="2076"/>
      <c r="ARM243" s="2076"/>
      <c r="ARN243" s="2076"/>
      <c r="ARO243" s="2076"/>
      <c r="ARP243" s="2076"/>
      <c r="ARQ243" s="2076"/>
      <c r="ARR243" s="2076"/>
      <c r="ARS243" s="2076"/>
      <c r="ART243" s="2076"/>
      <c r="ARU243" s="2076"/>
      <c r="ARV243" s="2076"/>
      <c r="ARW243" s="2076"/>
      <c r="ARX243" s="2076"/>
      <c r="ARY243" s="2076"/>
      <c r="ARZ243" s="2076"/>
      <c r="ASA243" s="2076"/>
      <c r="ASB243" s="2076"/>
      <c r="ASC243" s="2076"/>
      <c r="ASD243" s="2076"/>
      <c r="ASE243" s="2076"/>
      <c r="ASF243" s="2076"/>
      <c r="ASG243" s="2076"/>
      <c r="ASH243" s="2076"/>
      <c r="ASI243" s="2076"/>
      <c r="ASJ243" s="2076"/>
      <c r="ASK243" s="2076"/>
      <c r="ASL243" s="2076"/>
      <c r="ASM243" s="2076"/>
      <c r="ASN243" s="2076"/>
      <c r="ASO243" s="2076"/>
      <c r="ASP243" s="2076"/>
      <c r="ASQ243" s="2076"/>
      <c r="ASR243" s="2076"/>
      <c r="ASS243" s="2076"/>
      <c r="AST243" s="2076"/>
      <c r="ASU243" s="2076"/>
      <c r="ASV243" s="2076"/>
      <c r="ASW243" s="2076"/>
      <c r="ASX243" s="2076"/>
      <c r="ASY243" s="2076"/>
      <c r="ASZ243" s="2076"/>
      <c r="ATA243" s="2076"/>
      <c r="ATB243" s="2076"/>
      <c r="ATC243" s="2076"/>
      <c r="ATD243" s="2076"/>
      <c r="ATE243" s="2076"/>
      <c r="ATF243" s="2076"/>
      <c r="ATG243" s="2076"/>
      <c r="ATH243" s="2076"/>
      <c r="ATI243" s="2076"/>
      <c r="ATJ243" s="2076"/>
      <c r="ATK243" s="2076"/>
      <c r="ATL243" s="2076"/>
      <c r="ATM243" s="2076"/>
      <c r="ATN243" s="2076"/>
      <c r="ATO243" s="2076"/>
      <c r="ATP243" s="2076"/>
      <c r="ATQ243" s="2076"/>
      <c r="ATR243" s="2076"/>
      <c r="ATS243" s="2076"/>
      <c r="ATT243" s="2076"/>
      <c r="ATU243" s="2076"/>
      <c r="ATV243" s="2076"/>
      <c r="ATW243" s="2076"/>
      <c r="ATX243" s="2076"/>
      <c r="ATY243" s="2076"/>
      <c r="ATZ243" s="2076"/>
      <c r="AUA243" s="2076"/>
      <c r="AUB243" s="2076"/>
      <c r="AUC243" s="2076"/>
      <c r="AUD243" s="2076"/>
      <c r="AUE243" s="2076"/>
      <c r="AUF243" s="2076"/>
      <c r="AUG243" s="2076"/>
      <c r="AUH243" s="2076"/>
      <c r="AUI243" s="2076"/>
      <c r="AUJ243" s="2076"/>
      <c r="AUK243" s="2076"/>
      <c r="AUL243" s="2076"/>
      <c r="AUM243" s="2076"/>
      <c r="AUN243" s="2076"/>
      <c r="AUO243" s="2076"/>
      <c r="AUP243" s="2076"/>
      <c r="AUQ243" s="2076"/>
      <c r="AUR243" s="2076"/>
      <c r="AUS243" s="2076"/>
      <c r="AUT243" s="2076"/>
      <c r="AUU243" s="2076"/>
      <c r="AUV243" s="2076"/>
      <c r="AUW243" s="2076"/>
      <c r="AUX243" s="2076"/>
      <c r="AUY243" s="2076"/>
      <c r="AUZ243" s="2076"/>
      <c r="AVA243" s="2076"/>
      <c r="AVB243" s="2076"/>
      <c r="AVC243" s="2076"/>
      <c r="AVD243" s="2076"/>
      <c r="AVE243" s="2076"/>
      <c r="AVF243" s="2076"/>
      <c r="AVG243" s="2076"/>
      <c r="AVH243" s="2076"/>
      <c r="AVI243" s="2076"/>
      <c r="AVJ243" s="2076"/>
      <c r="AVK243" s="2076"/>
      <c r="AVL243" s="2076"/>
      <c r="AVM243" s="2076"/>
      <c r="AVN243" s="2076"/>
      <c r="AVO243" s="2076"/>
      <c r="AVP243" s="2076"/>
      <c r="AVQ243" s="2076"/>
      <c r="AVR243" s="2076"/>
      <c r="AVS243" s="2076"/>
      <c r="AVT243" s="2076"/>
      <c r="AVU243" s="2076"/>
      <c r="AVV243" s="2076"/>
      <c r="AVW243" s="2076"/>
      <c r="AVX243" s="2076"/>
      <c r="AVY243" s="2076"/>
      <c r="AVZ243" s="2076"/>
      <c r="AWA243" s="2076"/>
      <c r="AWB243" s="2076"/>
      <c r="AWC243" s="2076"/>
      <c r="AWD243" s="2076"/>
      <c r="AWE243" s="2076"/>
      <c r="AWF243" s="2076"/>
      <c r="AWG243" s="2076"/>
      <c r="AWH243" s="2076"/>
      <c r="AWI243" s="2076"/>
      <c r="AWJ243" s="2076"/>
      <c r="AWK243" s="2076"/>
      <c r="AWL243" s="2076"/>
      <c r="AWM243" s="2076"/>
      <c r="AWN243" s="2076"/>
      <c r="AWO243" s="2076"/>
      <c r="AWP243" s="2076"/>
      <c r="AWQ243" s="2076"/>
      <c r="AWR243" s="2076"/>
      <c r="AWS243" s="2076"/>
      <c r="AWT243" s="2076"/>
      <c r="AWU243" s="2076"/>
      <c r="AWV243" s="2076"/>
      <c r="AWW243" s="2076"/>
      <c r="AWX243" s="2076"/>
      <c r="AWY243" s="2076"/>
      <c r="AWZ243" s="2076"/>
      <c r="AXA243" s="2076"/>
      <c r="AXB243" s="2076"/>
      <c r="AXC243" s="2076"/>
      <c r="AXD243" s="2076"/>
      <c r="AXE243" s="2076"/>
      <c r="AXF243" s="2076"/>
      <c r="AXG243" s="2076"/>
      <c r="AXH243" s="2076"/>
      <c r="AXI243" s="2076"/>
      <c r="AXJ243" s="2076"/>
    </row>
    <row r="244" spans="1:1310" ht="20.100000000000001" customHeight="1" thickBot="1">
      <c r="B244" s="54"/>
      <c r="C244" s="54"/>
      <c r="D244" s="54"/>
      <c r="E244" s="1029"/>
      <c r="F244" s="1029"/>
      <c r="G244" s="54"/>
      <c r="H244" s="54"/>
      <c r="I244" s="54"/>
      <c r="J244" s="54"/>
      <c r="K244" s="54"/>
      <c r="L244" s="58"/>
      <c r="M244" s="58"/>
      <c r="N244" s="58"/>
      <c r="O244" s="58"/>
      <c r="P244" s="58"/>
      <c r="Q244" s="58"/>
    </row>
    <row r="245" spans="1:1310" ht="20.100000000000001" customHeight="1">
      <c r="A245" s="1979" t="s">
        <v>76</v>
      </c>
      <c r="B245" s="3156" t="s">
        <v>2404</v>
      </c>
      <c r="C245" s="3157"/>
      <c r="D245" s="3157"/>
      <c r="E245" s="3157"/>
      <c r="F245" s="3157"/>
      <c r="G245" s="3158"/>
      <c r="H245" s="54"/>
      <c r="I245" s="3235" t="s">
        <v>2421</v>
      </c>
      <c r="J245" s="3236"/>
      <c r="K245" s="3236"/>
      <c r="L245" s="3236"/>
      <c r="M245" s="3236"/>
      <c r="N245" s="3236"/>
      <c r="O245" s="3237"/>
      <c r="P245" s="58"/>
      <c r="Q245" s="58"/>
    </row>
    <row r="246" spans="1:1310" ht="20.100000000000001" customHeight="1">
      <c r="A246" s="3217" t="s">
        <v>2404</v>
      </c>
      <c r="B246" s="3159"/>
      <c r="C246" s="3160"/>
      <c r="D246" s="3160"/>
      <c r="E246" s="3160"/>
      <c r="F246" s="3160"/>
      <c r="G246" s="3161"/>
      <c r="H246" s="54"/>
      <c r="I246" s="2130" t="s">
        <v>2422</v>
      </c>
      <c r="J246" s="873"/>
      <c r="K246" s="873"/>
      <c r="L246" s="2131" t="s">
        <v>2423</v>
      </c>
      <c r="M246" s="873"/>
      <c r="N246" s="873"/>
      <c r="O246" s="2102"/>
      <c r="P246" s="58"/>
      <c r="Q246" s="58"/>
    </row>
    <row r="247" spans="1:1310" ht="20.100000000000001" customHeight="1">
      <c r="A247" s="3217"/>
      <c r="B247" s="2097"/>
      <c r="C247" s="828"/>
      <c r="D247" s="2098"/>
      <c r="E247" s="828"/>
      <c r="F247" s="2098"/>
      <c r="G247" s="2099"/>
      <c r="H247" s="54"/>
      <c r="I247" s="2130" t="s">
        <v>2424</v>
      </c>
      <c r="J247" s="873"/>
      <c r="K247" s="873"/>
      <c r="L247" s="2131" t="s">
        <v>2425</v>
      </c>
      <c r="M247" s="873"/>
      <c r="N247" s="873"/>
      <c r="O247" s="2102"/>
      <c r="P247" s="58"/>
      <c r="Q247" s="58"/>
    </row>
    <row r="248" spans="1:1310" ht="20.100000000000001" customHeight="1">
      <c r="A248" s="3217"/>
      <c r="B248" s="2100" t="s">
        <v>75</v>
      </c>
      <c r="C248" s="2101" t="s">
        <v>2405</v>
      </c>
      <c r="D248" s="873"/>
      <c r="E248" s="873"/>
      <c r="F248" s="873"/>
      <c r="G248" s="2102"/>
      <c r="H248" s="54"/>
      <c r="I248" s="2130" t="s">
        <v>2426</v>
      </c>
      <c r="J248" s="873"/>
      <c r="K248" s="873"/>
      <c r="L248" s="1"/>
      <c r="M248" s="873"/>
      <c r="N248" s="873"/>
      <c r="O248" s="2102"/>
      <c r="P248" s="58"/>
      <c r="Q248" s="58"/>
    </row>
    <row r="249" spans="1:1310" ht="20.100000000000001" customHeight="1">
      <c r="A249" s="3217"/>
      <c r="B249" s="2103" t="s">
        <v>95</v>
      </c>
      <c r="C249" s="2101" t="s">
        <v>2406</v>
      </c>
      <c r="D249" s="873"/>
      <c r="E249" s="873"/>
      <c r="F249" s="873"/>
      <c r="G249" s="2102"/>
      <c r="H249" s="54"/>
      <c r="I249" s="2130" t="s">
        <v>2427</v>
      </c>
      <c r="J249" s="873"/>
      <c r="K249" s="873"/>
      <c r="L249" s="2131" t="s">
        <v>2428</v>
      </c>
      <c r="M249" s="873"/>
      <c r="N249" s="873"/>
      <c r="O249" s="2102"/>
      <c r="P249" s="58"/>
      <c r="Q249" s="58"/>
    </row>
    <row r="250" spans="1:1310" ht="20.100000000000001" customHeight="1">
      <c r="A250" s="3217"/>
      <c r="B250" s="2104" t="s">
        <v>98</v>
      </c>
      <c r="C250" s="2101" t="s">
        <v>2407</v>
      </c>
      <c r="D250" s="873"/>
      <c r="E250" s="873"/>
      <c r="F250" s="873"/>
      <c r="G250" s="2102"/>
      <c r="H250" s="54"/>
      <c r="I250" s="2130" t="s">
        <v>2429</v>
      </c>
      <c r="J250" s="873"/>
      <c r="K250" s="873"/>
      <c r="L250" s="2131" t="s">
        <v>2430</v>
      </c>
      <c r="M250" s="873"/>
      <c r="N250" s="873"/>
      <c r="O250" s="2102"/>
      <c r="P250" s="58"/>
      <c r="Q250" s="58"/>
    </row>
    <row r="251" spans="1:1310" ht="20.100000000000001" customHeight="1" thickBot="1">
      <c r="A251" s="3217"/>
      <c r="B251" s="954"/>
      <c r="C251" s="873"/>
      <c r="D251" s="873"/>
      <c r="E251" s="873"/>
      <c r="F251" s="873"/>
      <c r="G251" s="2102"/>
      <c r="H251" s="54"/>
      <c r="I251" s="2130"/>
      <c r="J251" s="873"/>
      <c r="K251" s="873"/>
      <c r="L251" s="2131" t="s">
        <v>2431</v>
      </c>
      <c r="M251" s="873"/>
      <c r="N251" s="873"/>
      <c r="O251" s="2102"/>
      <c r="P251" s="58"/>
      <c r="Q251" s="58"/>
    </row>
    <row r="252" spans="1:1310" ht="20.100000000000001" customHeight="1">
      <c r="A252" s="3217"/>
      <c r="B252" s="2105"/>
      <c r="C252" s="2106"/>
      <c r="D252" s="2107"/>
      <c r="E252" s="2106"/>
      <c r="F252" s="2107"/>
      <c r="G252" s="2108"/>
      <c r="H252" s="54"/>
      <c r="I252" s="954"/>
      <c r="J252" s="873"/>
      <c r="K252" s="873"/>
      <c r="L252" s="873"/>
      <c r="M252" s="873"/>
      <c r="N252" s="873"/>
      <c r="O252" s="2102"/>
      <c r="P252" s="58"/>
      <c r="Q252" s="58"/>
    </row>
    <row r="253" spans="1:1310" ht="20.100000000000001" customHeight="1">
      <c r="A253" s="3217"/>
      <c r="B253" s="3218" t="s">
        <v>2408</v>
      </c>
      <c r="C253" s="3219"/>
      <c r="D253" s="3219"/>
      <c r="E253" s="3219"/>
      <c r="F253" s="3219"/>
      <c r="G253" s="3220"/>
      <c r="H253" s="54"/>
      <c r="I253" s="2130" t="s">
        <v>2432</v>
      </c>
      <c r="J253" s="873"/>
      <c r="K253" s="873"/>
      <c r="L253" s="2132" t="s">
        <v>2434</v>
      </c>
      <c r="M253" s="873"/>
      <c r="N253" s="873"/>
      <c r="O253" s="2102"/>
      <c r="P253" s="58"/>
      <c r="Q253" s="58"/>
    </row>
    <row r="254" spans="1:1310" ht="20.100000000000001" customHeight="1">
      <c r="A254" s="3217"/>
      <c r="B254" s="2109"/>
      <c r="C254" s="873"/>
      <c r="D254" s="2110"/>
      <c r="E254" s="873"/>
      <c r="F254" s="2110"/>
      <c r="G254" s="2111"/>
      <c r="H254" s="54"/>
      <c r="I254" s="2130" t="s">
        <v>2433</v>
      </c>
      <c r="J254" s="873"/>
      <c r="K254" s="873"/>
      <c r="L254" s="2133">
        <v>0</v>
      </c>
      <c r="M254" s="2134">
        <v>0</v>
      </c>
      <c r="N254" s="2135">
        <v>0</v>
      </c>
      <c r="O254" s="2136">
        <v>0</v>
      </c>
      <c r="P254" s="58"/>
      <c r="Q254" s="58"/>
    </row>
    <row r="255" spans="1:1310" ht="20.100000000000001" customHeight="1" thickBot="1">
      <c r="A255" s="3217"/>
      <c r="B255" s="2100" t="s">
        <v>75</v>
      </c>
      <c r="C255" s="2101" t="s">
        <v>2409</v>
      </c>
      <c r="D255" s="873"/>
      <c r="E255" s="873"/>
      <c r="F255" s="873"/>
      <c r="G255" s="2102"/>
      <c r="H255" s="54"/>
      <c r="I255" s="960"/>
      <c r="J255" s="961"/>
      <c r="K255" s="961"/>
      <c r="L255" s="961"/>
      <c r="M255" s="961"/>
      <c r="N255" s="961"/>
      <c r="O255" s="962"/>
      <c r="P255" s="58"/>
      <c r="Q255" s="58"/>
    </row>
    <row r="256" spans="1:1310" ht="20.100000000000001" customHeight="1" thickBot="1">
      <c r="A256" s="3217"/>
      <c r="B256" s="2103" t="s">
        <v>95</v>
      </c>
      <c r="C256" s="2101" t="s">
        <v>2410</v>
      </c>
      <c r="D256" s="873"/>
      <c r="E256" s="873"/>
      <c r="F256" s="873"/>
      <c r="G256" s="2102"/>
      <c r="H256" s="54"/>
      <c r="I256" s="755"/>
      <c r="J256" s="755"/>
      <c r="K256" s="755"/>
      <c r="L256" s="755"/>
      <c r="M256" s="755"/>
      <c r="N256" s="755"/>
      <c r="O256" s="755"/>
      <c r="P256" s="58"/>
      <c r="Q256" s="58"/>
    </row>
    <row r="257" spans="1:17" ht="20.100000000000001" customHeight="1">
      <c r="A257" s="3217"/>
      <c r="B257" s="2104" t="s">
        <v>98</v>
      </c>
      <c r="C257" s="2101" t="s">
        <v>2411</v>
      </c>
      <c r="D257" s="873"/>
      <c r="E257" s="873"/>
      <c r="F257" s="873"/>
      <c r="G257" s="2102"/>
      <c r="H257" s="54"/>
      <c r="I257" s="3221" t="s">
        <v>2439</v>
      </c>
      <c r="J257" s="3222"/>
      <c r="K257" s="3222"/>
      <c r="L257" s="3222"/>
      <c r="M257" s="3222"/>
      <c r="N257" s="3222"/>
      <c r="O257" s="3223"/>
      <c r="P257" s="58"/>
      <c r="Q257" s="58"/>
    </row>
    <row r="258" spans="1:17" ht="20.100000000000001" customHeight="1">
      <c r="A258" s="3217"/>
      <c r="B258" s="954"/>
      <c r="C258" s="873"/>
      <c r="D258" s="873"/>
      <c r="E258" s="873"/>
      <c r="F258" s="873"/>
      <c r="G258" s="2102"/>
      <c r="H258" s="54"/>
      <c r="I258" s="3224" t="s">
        <v>2440</v>
      </c>
      <c r="J258" s="3225">
        <v>8.35</v>
      </c>
      <c r="K258" s="3226" t="s">
        <v>2441</v>
      </c>
      <c r="L258" s="3226"/>
      <c r="M258" s="3225">
        <v>0.25</v>
      </c>
      <c r="N258" s="3227">
        <f>IF(ISBLANK(M259),I262,M259)</f>
        <v>33.4</v>
      </c>
      <c r="O258" s="3213" t="s">
        <v>275</v>
      </c>
      <c r="P258" s="58"/>
      <c r="Q258" s="58"/>
    </row>
    <row r="259" spans="1:17" ht="20.100000000000001" customHeight="1">
      <c r="A259" s="3217"/>
      <c r="B259" s="2112" t="s">
        <v>2412</v>
      </c>
      <c r="C259" s="2113"/>
      <c r="D259" s="2114"/>
      <c r="E259" s="2113"/>
      <c r="F259" s="3228">
        <f>3.14*(11*11)</f>
        <v>379.94</v>
      </c>
      <c r="G259" s="3229"/>
      <c r="H259" s="54"/>
      <c r="I259" s="3224"/>
      <c r="J259" s="3225"/>
      <c r="K259" s="3226"/>
      <c r="L259" s="3226"/>
      <c r="M259" s="3225"/>
      <c r="N259" s="3227"/>
      <c r="O259" s="3213"/>
      <c r="P259" s="58"/>
      <c r="Q259" s="58"/>
    </row>
    <row r="260" spans="1:17" ht="20.100000000000001" customHeight="1">
      <c r="A260" s="3217"/>
      <c r="B260" s="2115" t="s">
        <v>2413</v>
      </c>
      <c r="C260" s="2116"/>
      <c r="D260" s="2117"/>
      <c r="E260" s="2116"/>
      <c r="F260" s="3208" t="s">
        <v>2414</v>
      </c>
      <c r="G260" s="3209"/>
      <c r="H260" s="54"/>
      <c r="I260" s="3224"/>
      <c r="J260" s="3225"/>
      <c r="K260" s="3210" t="s">
        <v>2442</v>
      </c>
      <c r="L260" s="3210"/>
      <c r="M260" s="3211">
        <v>70</v>
      </c>
      <c r="N260" s="3212">
        <f>J258/M260</f>
        <v>0.11928571428571429</v>
      </c>
      <c r="O260" s="3213" t="s">
        <v>2443</v>
      </c>
      <c r="P260" s="58"/>
      <c r="Q260" s="58"/>
    </row>
    <row r="261" spans="1:17" ht="20.100000000000001" customHeight="1">
      <c r="A261" s="3217"/>
      <c r="B261" s="2129" t="s">
        <v>2415</v>
      </c>
      <c r="C261" s="2118" t="s">
        <v>2416</v>
      </c>
      <c r="D261" s="344"/>
      <c r="E261" s="2118" t="s">
        <v>2417</v>
      </c>
      <c r="F261" s="2119" t="s">
        <v>2418</v>
      </c>
      <c r="G261" s="345"/>
      <c r="H261" s="54"/>
      <c r="I261" s="3224"/>
      <c r="J261" s="3225"/>
      <c r="K261" s="3210"/>
      <c r="L261" s="3210"/>
      <c r="M261" s="3211"/>
      <c r="N261" s="3212"/>
      <c r="O261" s="3213"/>
      <c r="P261" s="58"/>
      <c r="Q261" s="58"/>
    </row>
    <row r="262" spans="1:17" ht="20.100000000000001" customHeight="1">
      <c r="A262" s="3217"/>
      <c r="B262" s="3192">
        <v>1</v>
      </c>
      <c r="C262" s="3194">
        <v>22</v>
      </c>
      <c r="D262" s="1"/>
      <c r="E262" s="3176">
        <f>C262/2</f>
        <v>11</v>
      </c>
      <c r="F262" s="3197">
        <f>PI()*(E262^2)</f>
        <v>380.13271108436498</v>
      </c>
      <c r="G262" s="2"/>
      <c r="H262" s="54"/>
      <c r="I262" s="2139">
        <f>IF(ISBLANK(M258),0,J258/M258)</f>
        <v>33.4</v>
      </c>
      <c r="J262" s="779"/>
      <c r="K262" s="779"/>
      <c r="L262" s="779"/>
      <c r="M262" s="779"/>
      <c r="N262" s="779"/>
      <c r="O262" s="2140"/>
      <c r="P262" s="58"/>
      <c r="Q262" s="58"/>
    </row>
    <row r="263" spans="1:17" ht="20.100000000000001" customHeight="1" thickBot="1">
      <c r="A263" s="3217"/>
      <c r="B263" s="3192"/>
      <c r="C263" s="3194"/>
      <c r="D263" s="1"/>
      <c r="E263" s="3176"/>
      <c r="F263" s="3197"/>
      <c r="G263" s="2"/>
      <c r="H263" s="54"/>
      <c r="I263" s="3214" t="s">
        <v>2444</v>
      </c>
      <c r="J263" s="3215"/>
      <c r="K263" s="3215"/>
      <c r="L263" s="3215"/>
      <c r="M263" s="3215"/>
      <c r="N263" s="3215"/>
      <c r="O263" s="3216"/>
      <c r="P263" s="58"/>
      <c r="Q263" s="58"/>
    </row>
    <row r="264" spans="1:17" ht="20.100000000000001" customHeight="1">
      <c r="A264" s="3217"/>
      <c r="B264" s="2120"/>
      <c r="C264" s="2122"/>
      <c r="D264" s="1"/>
      <c r="E264" s="2123"/>
      <c r="F264" s="2124"/>
      <c r="G264" s="2"/>
      <c r="H264" s="54"/>
      <c r="I264" s="3186" t="s">
        <v>8</v>
      </c>
      <c r="J264" s="3187"/>
      <c r="K264" s="3187"/>
      <c r="L264" s="3187"/>
      <c r="M264" s="3187"/>
      <c r="N264" s="3187"/>
      <c r="O264" s="3188"/>
      <c r="P264" s="58"/>
      <c r="Q264" s="58"/>
    </row>
    <row r="265" spans="1:17" ht="20.100000000000001" customHeight="1" thickBot="1">
      <c r="A265" s="3217"/>
      <c r="B265" s="3192">
        <v>1</v>
      </c>
      <c r="C265" s="3194">
        <v>22</v>
      </c>
      <c r="D265" s="1"/>
      <c r="E265" s="3176">
        <f>C265/2</f>
        <v>11</v>
      </c>
      <c r="F265" s="3197">
        <f>PI()*(E265^2)</f>
        <v>380.13271108436498</v>
      </c>
      <c r="G265" s="2"/>
      <c r="H265" s="54"/>
      <c r="I265" s="3189"/>
      <c r="J265" s="3190"/>
      <c r="K265" s="3190"/>
      <c r="L265" s="3190"/>
      <c r="M265" s="3190"/>
      <c r="N265" s="3190"/>
      <c r="O265" s="3191"/>
      <c r="P265" s="58"/>
      <c r="Q265" s="58"/>
    </row>
    <row r="266" spans="1:17" ht="20.100000000000001" customHeight="1" thickBot="1">
      <c r="A266" s="3217"/>
      <c r="B266" s="3193"/>
      <c r="C266" s="3195"/>
      <c r="D266" s="1"/>
      <c r="E266" s="3196"/>
      <c r="F266" s="3198"/>
      <c r="G266" s="2"/>
      <c r="H266" s="54"/>
      <c r="P266" s="58"/>
      <c r="Q266" s="58"/>
    </row>
    <row r="267" spans="1:17" ht="20.100000000000001" customHeight="1">
      <c r="A267" s="3217"/>
      <c r="B267" s="3199" t="s">
        <v>2419</v>
      </c>
      <c r="C267" s="3200"/>
      <c r="D267" s="3200"/>
      <c r="E267" s="3200"/>
      <c r="F267" s="3200"/>
      <c r="G267" s="3201"/>
      <c r="H267" s="54"/>
      <c r="I267" s="3202" t="s">
        <v>2445</v>
      </c>
      <c r="J267" s="3203"/>
      <c r="K267" s="3203"/>
      <c r="L267" s="3203"/>
      <c r="M267" s="3203"/>
      <c r="N267" s="3204"/>
      <c r="O267" s="58"/>
      <c r="P267" s="58"/>
      <c r="Q267" s="58"/>
    </row>
    <row r="268" spans="1:17" ht="20.100000000000001" customHeight="1">
      <c r="A268" s="3217"/>
      <c r="B268" s="2125" t="s">
        <v>2420</v>
      </c>
      <c r="C268" s="828"/>
      <c r="D268" s="2126"/>
      <c r="E268" s="828"/>
      <c r="F268" s="2127"/>
      <c r="G268" s="2128"/>
      <c r="H268" s="54"/>
      <c r="I268" s="3205"/>
      <c r="J268" s="3206"/>
      <c r="K268" s="3206"/>
      <c r="L268" s="3206"/>
      <c r="M268" s="3206"/>
      <c r="N268" s="3207"/>
      <c r="O268" s="58"/>
      <c r="P268" s="58"/>
      <c r="Q268" s="58"/>
    </row>
    <row r="269" spans="1:17" ht="20.100000000000001" customHeight="1">
      <c r="A269" s="3217"/>
      <c r="B269" s="3077" t="s">
        <v>8</v>
      </c>
      <c r="C269" s="3078"/>
      <c r="D269" s="3078"/>
      <c r="E269" s="3078"/>
      <c r="F269" s="3078"/>
      <c r="G269" s="3079"/>
      <c r="H269" s="54"/>
      <c r="I269" s="3171" t="s">
        <v>2446</v>
      </c>
      <c r="J269" s="3172"/>
      <c r="K269" s="3172"/>
      <c r="L269" s="3172"/>
      <c r="M269" s="3172"/>
      <c r="N269" s="3173"/>
      <c r="O269" s="58"/>
      <c r="P269" s="58"/>
      <c r="Q269" s="58"/>
    </row>
    <row r="270" spans="1:17" ht="20.100000000000001" customHeight="1" thickBot="1">
      <c r="A270" s="3217"/>
      <c r="B270" s="2905"/>
      <c r="C270" s="2906"/>
      <c r="D270" s="2906"/>
      <c r="E270" s="2906"/>
      <c r="F270" s="2906"/>
      <c r="G270" s="2907"/>
      <c r="H270" s="54"/>
      <c r="I270" s="3171"/>
      <c r="J270" s="3172"/>
      <c r="K270" s="3172"/>
      <c r="L270" s="3172"/>
      <c r="M270" s="3172"/>
      <c r="N270" s="3173"/>
      <c r="O270" s="58"/>
      <c r="P270" s="58"/>
      <c r="Q270" s="58"/>
    </row>
    <row r="271" spans="1:17" ht="20.100000000000001" customHeight="1" thickBot="1">
      <c r="B271" s="54"/>
      <c r="C271" s="54"/>
      <c r="D271" s="54"/>
      <c r="E271" s="1029"/>
      <c r="F271" s="1029"/>
      <c r="G271" s="54"/>
      <c r="H271" s="54"/>
      <c r="I271" s="3138" t="s">
        <v>2415</v>
      </c>
      <c r="J271" s="3139" t="s">
        <v>2416</v>
      </c>
      <c r="K271" s="3139" t="s">
        <v>2417</v>
      </c>
      <c r="L271" s="3181" t="s">
        <v>2447</v>
      </c>
      <c r="M271" s="3182" t="s">
        <v>722</v>
      </c>
      <c r="N271" s="3133" t="s">
        <v>2448</v>
      </c>
      <c r="O271" s="58"/>
      <c r="P271" s="58"/>
      <c r="Q271" s="58"/>
    </row>
    <row r="272" spans="1:17" ht="20.100000000000001" customHeight="1">
      <c r="A272" s="1979" t="s">
        <v>76</v>
      </c>
      <c r="B272" s="3183" t="s">
        <v>2435</v>
      </c>
      <c r="C272" s="3184"/>
      <c r="D272" s="3184"/>
      <c r="E272" s="3184"/>
      <c r="F272" s="3184"/>
      <c r="G272" s="3185"/>
      <c r="H272" s="54"/>
      <c r="I272" s="3138"/>
      <c r="J272" s="3139"/>
      <c r="K272" s="3139"/>
      <c r="L272" s="3181"/>
      <c r="M272" s="3182"/>
      <c r="N272" s="3133"/>
      <c r="O272" s="58"/>
      <c r="P272" s="58"/>
      <c r="Q272" s="58"/>
    </row>
    <row r="273" spans="1:17" ht="20.100000000000001" customHeight="1">
      <c r="A273" s="3175" t="s">
        <v>2435</v>
      </c>
      <c r="B273" s="3168" t="s">
        <v>2436</v>
      </c>
      <c r="C273" s="3169"/>
      <c r="D273" s="3169"/>
      <c r="E273" s="3169"/>
      <c r="F273" s="3169"/>
      <c r="G273" s="3170"/>
      <c r="H273" s="54"/>
      <c r="I273" s="3134">
        <v>1</v>
      </c>
      <c r="J273" s="3114">
        <v>22</v>
      </c>
      <c r="K273" s="3176">
        <f>J273/2</f>
        <v>11</v>
      </c>
      <c r="L273" s="3177">
        <v>0.15</v>
      </c>
      <c r="M273" s="3166">
        <f>(PI()*(K273^2)*I273)</f>
        <v>380.13271108436498</v>
      </c>
      <c r="N273" s="3167">
        <f>N277</f>
        <v>1.5783961298369786</v>
      </c>
      <c r="O273" s="58"/>
      <c r="P273" s="58"/>
      <c r="Q273" s="58"/>
    </row>
    <row r="274" spans="1:17" ht="20.100000000000001" customHeight="1">
      <c r="A274" s="3175"/>
      <c r="B274" s="3168"/>
      <c r="C274" s="3169"/>
      <c r="D274" s="3169"/>
      <c r="E274" s="3169"/>
      <c r="F274" s="3169"/>
      <c r="G274" s="3170"/>
      <c r="H274" s="54"/>
      <c r="I274" s="3134"/>
      <c r="J274" s="3114"/>
      <c r="K274" s="3176"/>
      <c r="L274" s="3177"/>
      <c r="M274" s="3166"/>
      <c r="N274" s="3167"/>
      <c r="O274" s="58"/>
      <c r="P274" s="58"/>
      <c r="Q274" s="58"/>
    </row>
    <row r="275" spans="1:17" ht="20.100000000000001" customHeight="1">
      <c r="A275" s="3175"/>
      <c r="B275" s="3168" t="s">
        <v>2437</v>
      </c>
      <c r="C275" s="3169"/>
      <c r="D275" s="3169"/>
      <c r="E275" s="3169"/>
      <c r="F275" s="3169"/>
      <c r="G275" s="3170"/>
      <c r="H275" s="54"/>
      <c r="I275" s="3171" t="s">
        <v>2449</v>
      </c>
      <c r="J275" s="3172"/>
      <c r="K275" s="3172"/>
      <c r="L275" s="3172"/>
      <c r="M275" s="3172"/>
      <c r="N275" s="3173"/>
      <c r="O275" s="58"/>
      <c r="P275" s="58"/>
      <c r="Q275" s="58"/>
    </row>
    <row r="276" spans="1:17" ht="20.100000000000001" customHeight="1">
      <c r="A276" s="3175"/>
      <c r="B276" s="3168"/>
      <c r="C276" s="3169"/>
      <c r="D276" s="3169"/>
      <c r="E276" s="3169"/>
      <c r="F276" s="3169"/>
      <c r="G276" s="3170"/>
      <c r="H276" s="54"/>
      <c r="I276" s="3171"/>
      <c r="J276" s="3172"/>
      <c r="K276" s="3172"/>
      <c r="L276" s="3172"/>
      <c r="M276" s="3172"/>
      <c r="N276" s="3173"/>
      <c r="O276" s="58"/>
      <c r="P276" s="58"/>
      <c r="Q276" s="58"/>
    </row>
    <row r="277" spans="1:17" ht="20.100000000000001" customHeight="1">
      <c r="A277" s="3175"/>
      <c r="B277" s="3168"/>
      <c r="C277" s="3169"/>
      <c r="D277" s="3169"/>
      <c r="E277" s="3169"/>
      <c r="F277" s="3169"/>
      <c r="G277" s="3170"/>
      <c r="H277" s="54"/>
      <c r="I277" s="3134">
        <v>1</v>
      </c>
      <c r="J277" s="3114">
        <v>30</v>
      </c>
      <c r="K277" s="3114">
        <v>20</v>
      </c>
      <c r="L277" s="3174">
        <f>(L273*N273)*I273</f>
        <v>0.2367594194755468</v>
      </c>
      <c r="M277" s="3166">
        <f>(J277*K277)*I277</f>
        <v>600</v>
      </c>
      <c r="N277" s="3167">
        <f>M277/M273</f>
        <v>1.5783961298369786</v>
      </c>
      <c r="O277" s="58"/>
      <c r="P277" s="58"/>
      <c r="Q277" s="58"/>
    </row>
    <row r="278" spans="1:17" ht="20.100000000000001" customHeight="1">
      <c r="A278" s="3175"/>
      <c r="B278" s="2137"/>
      <c r="C278" s="2138"/>
      <c r="D278" s="2138"/>
      <c r="E278" s="2138"/>
      <c r="F278" s="2138"/>
      <c r="G278" s="2"/>
      <c r="H278" s="54"/>
      <c r="I278" s="3134"/>
      <c r="J278" s="3114"/>
      <c r="K278" s="3114"/>
      <c r="L278" s="3174"/>
      <c r="M278" s="3166"/>
      <c r="N278" s="3167"/>
      <c r="O278" s="58"/>
      <c r="P278" s="58"/>
      <c r="Q278" s="58"/>
    </row>
    <row r="279" spans="1:17" ht="20.100000000000001" customHeight="1">
      <c r="A279" s="3175"/>
      <c r="B279" s="2137"/>
      <c r="C279" s="2138"/>
      <c r="D279" s="2138"/>
      <c r="E279" s="2138"/>
      <c r="F279" s="2138"/>
      <c r="G279" s="2"/>
      <c r="H279" s="54"/>
      <c r="I279" s="3178" t="s">
        <v>2450</v>
      </c>
      <c r="J279" s="3179" t="s">
        <v>2451</v>
      </c>
      <c r="K279" s="3179" t="s">
        <v>2452</v>
      </c>
      <c r="L279" s="3180" t="s">
        <v>2447</v>
      </c>
      <c r="M279" s="3148" t="s">
        <v>722</v>
      </c>
      <c r="N279" s="3149" t="s">
        <v>2448</v>
      </c>
      <c r="O279" s="58"/>
      <c r="P279" s="58"/>
      <c r="Q279" s="58"/>
    </row>
    <row r="280" spans="1:17" ht="20.100000000000001" customHeight="1">
      <c r="A280" s="3175"/>
      <c r="B280" s="2137"/>
      <c r="C280" s="2138"/>
      <c r="D280" s="2138"/>
      <c r="E280" s="2138"/>
      <c r="F280" s="2138"/>
      <c r="G280" s="2"/>
      <c r="H280" s="54"/>
      <c r="I280" s="3178"/>
      <c r="J280" s="3179"/>
      <c r="K280" s="3179"/>
      <c r="L280" s="3180"/>
      <c r="M280" s="3148"/>
      <c r="N280" s="3149"/>
      <c r="O280" s="58"/>
      <c r="P280" s="58"/>
      <c r="Q280" s="58"/>
    </row>
    <row r="281" spans="1:17" ht="20.100000000000001" customHeight="1" thickBot="1">
      <c r="A281" s="3175"/>
      <c r="B281" s="2137"/>
      <c r="C281" s="2138"/>
      <c r="D281" s="2138"/>
      <c r="E281" s="2138"/>
      <c r="F281" s="2138"/>
      <c r="G281" s="2"/>
      <c r="H281" s="54"/>
      <c r="I281" s="2146" t="s">
        <v>2453</v>
      </c>
      <c r="J281" s="2143"/>
      <c r="K281" s="2143"/>
      <c r="L281" s="2143"/>
      <c r="M281" s="2143"/>
      <c r="N281" s="2144"/>
      <c r="O281" s="58"/>
      <c r="P281" s="58"/>
      <c r="Q281" s="58"/>
    </row>
    <row r="282" spans="1:17" ht="20.100000000000001" customHeight="1">
      <c r="A282" s="3175"/>
      <c r="B282" s="2137"/>
      <c r="C282" s="2138"/>
      <c r="D282" s="2138"/>
      <c r="E282" s="2138"/>
      <c r="F282" s="2138"/>
      <c r="G282" s="2"/>
      <c r="H282" s="54"/>
      <c r="I282" s="2147" t="s">
        <v>2454</v>
      </c>
      <c r="J282" s="2148" t="s">
        <v>2455</v>
      </c>
      <c r="K282" s="2141"/>
      <c r="L282" s="2141"/>
      <c r="M282" s="2141"/>
      <c r="N282" s="2142"/>
      <c r="O282" s="58"/>
      <c r="P282" s="58"/>
      <c r="Q282" s="58"/>
    </row>
    <row r="283" spans="1:17" ht="20.100000000000001" customHeight="1">
      <c r="A283" s="3175"/>
      <c r="B283" s="2137"/>
      <c r="C283" s="2138"/>
      <c r="D283" s="2138"/>
      <c r="E283" s="2138"/>
      <c r="F283" s="2138"/>
      <c r="G283" s="2"/>
      <c r="H283" s="54"/>
      <c r="I283" s="3150" t="s">
        <v>8</v>
      </c>
      <c r="J283" s="3151"/>
      <c r="K283" s="3151"/>
      <c r="L283" s="3151"/>
      <c r="M283" s="3151"/>
      <c r="N283" s="3152"/>
      <c r="O283" s="58"/>
      <c r="P283" s="58"/>
      <c r="Q283" s="58"/>
    </row>
    <row r="284" spans="1:17" ht="20.100000000000001" customHeight="1" thickBot="1">
      <c r="A284" s="3175"/>
      <c r="B284" s="2137"/>
      <c r="C284" s="2138"/>
      <c r="D284" s="2138"/>
      <c r="E284" s="2138"/>
      <c r="F284" s="2138"/>
      <c r="G284" s="2"/>
      <c r="H284" s="54"/>
      <c r="I284" s="3153"/>
      <c r="J284" s="3154"/>
      <c r="K284" s="3154"/>
      <c r="L284" s="3154"/>
      <c r="M284" s="3154"/>
      <c r="N284" s="3155"/>
      <c r="O284" s="58"/>
      <c r="P284" s="58"/>
      <c r="Q284" s="58"/>
    </row>
    <row r="285" spans="1:17" ht="20.100000000000001" customHeight="1" thickBot="1">
      <c r="A285" s="3175"/>
      <c r="B285" s="2137"/>
      <c r="C285" s="2138"/>
      <c r="D285" s="2138"/>
      <c r="E285" s="2138"/>
      <c r="F285" s="2138"/>
      <c r="G285" s="2"/>
      <c r="H285" s="54"/>
      <c r="I285" s="58"/>
      <c r="J285" s="58"/>
      <c r="K285" s="58"/>
      <c r="L285" s="58"/>
      <c r="M285" s="58"/>
      <c r="N285" s="58"/>
      <c r="O285" s="58"/>
      <c r="P285" s="58"/>
      <c r="Q285" s="58"/>
    </row>
    <row r="286" spans="1:17" ht="20.100000000000001" customHeight="1">
      <c r="A286" s="3175"/>
      <c r="B286" s="2137"/>
      <c r="C286" s="2138"/>
      <c r="D286" s="2138"/>
      <c r="E286" s="2138"/>
      <c r="F286" s="2138"/>
      <c r="G286" s="2"/>
      <c r="H286" s="54"/>
      <c r="I286" s="3156" t="s">
        <v>2456</v>
      </c>
      <c r="J286" s="3157"/>
      <c r="K286" s="3157"/>
      <c r="L286" s="3157"/>
      <c r="M286" s="3158"/>
      <c r="O286" s="58"/>
      <c r="P286" s="58"/>
      <c r="Q286" s="58"/>
    </row>
    <row r="287" spans="1:17" ht="20.100000000000001" customHeight="1">
      <c r="A287" s="3175"/>
      <c r="B287" s="2137"/>
      <c r="C287" s="2138"/>
      <c r="D287" s="2138"/>
      <c r="E287" s="2138"/>
      <c r="F287" s="2138"/>
      <c r="G287" s="2"/>
      <c r="H287" s="54"/>
      <c r="I287" s="3159"/>
      <c r="J287" s="3160"/>
      <c r="K287" s="3160"/>
      <c r="L287" s="3160"/>
      <c r="M287" s="3161"/>
    </row>
    <row r="288" spans="1:17" ht="20.100000000000001" customHeight="1">
      <c r="A288" s="3175"/>
      <c r="B288" s="2137"/>
      <c r="C288" s="2138"/>
      <c r="D288" s="2138"/>
      <c r="E288" s="2138"/>
      <c r="F288" s="2138"/>
      <c r="G288" s="2"/>
      <c r="H288" s="54"/>
      <c r="I288" s="3159"/>
      <c r="J288" s="3160"/>
      <c r="K288" s="3160"/>
      <c r="L288" s="3160"/>
      <c r="M288" s="3161"/>
    </row>
    <row r="289" spans="1:14" ht="20.100000000000001" customHeight="1">
      <c r="A289" s="3175"/>
      <c r="B289" s="3162" t="s">
        <v>2438</v>
      </c>
      <c r="C289" s="3163"/>
      <c r="D289" s="3163"/>
      <c r="E289" s="3163"/>
      <c r="F289" s="3163"/>
      <c r="G289" s="2"/>
      <c r="H289" s="54"/>
      <c r="I289" s="3138" t="s">
        <v>2415</v>
      </c>
      <c r="J289" s="3139" t="s">
        <v>2416</v>
      </c>
      <c r="K289" s="3139" t="s">
        <v>2417</v>
      </c>
      <c r="L289" s="3139" t="s">
        <v>2457</v>
      </c>
      <c r="M289" s="3133" t="s">
        <v>722</v>
      </c>
    </row>
    <row r="290" spans="1:14" ht="20.100000000000001" customHeight="1">
      <c r="A290" s="3175"/>
      <c r="B290" s="3162"/>
      <c r="C290" s="3163"/>
      <c r="D290" s="3163"/>
      <c r="E290" s="3163"/>
      <c r="F290" s="3163"/>
      <c r="G290" s="2"/>
      <c r="H290" s="54"/>
      <c r="I290" s="3138"/>
      <c r="J290" s="3139"/>
      <c r="K290" s="3139"/>
      <c r="L290" s="3139"/>
      <c r="M290" s="3133"/>
    </row>
    <row r="291" spans="1:14" ht="20.100000000000001" customHeight="1" thickBot="1">
      <c r="A291" s="3175"/>
      <c r="B291" s="3164"/>
      <c r="C291" s="3165"/>
      <c r="D291" s="3165"/>
      <c r="E291" s="3165"/>
      <c r="F291" s="3165"/>
      <c r="G291" s="713"/>
      <c r="H291" s="54"/>
      <c r="I291" s="3134">
        <v>1</v>
      </c>
      <c r="J291" s="3073">
        <v>22</v>
      </c>
      <c r="K291" s="3144">
        <f>J291/2</f>
        <v>11</v>
      </c>
      <c r="L291" s="3073">
        <v>1</v>
      </c>
      <c r="M291" s="3116">
        <f>((PI()*(K291^2)*L291))*I291</f>
        <v>380.13271108436498</v>
      </c>
    </row>
    <row r="292" spans="1:14" ht="20.100000000000001" customHeight="1">
      <c r="B292" s="54"/>
      <c r="C292" s="54"/>
      <c r="D292" s="54"/>
      <c r="E292" s="1029"/>
      <c r="F292" s="1029"/>
      <c r="G292" s="54"/>
      <c r="H292" s="54"/>
      <c r="I292" s="3134"/>
      <c r="J292" s="3073"/>
      <c r="K292" s="3144"/>
      <c r="L292" s="3073"/>
      <c r="M292" s="3116"/>
    </row>
    <row r="293" spans="1:14" ht="20.100000000000001" customHeight="1">
      <c r="B293" s="3145" t="s">
        <v>2458</v>
      </c>
      <c r="C293" s="3146"/>
      <c r="D293" s="3146"/>
      <c r="E293" s="3146"/>
      <c r="F293" s="3146"/>
      <c r="G293" s="3147"/>
      <c r="H293" s="54"/>
      <c r="I293" s="3138" t="s">
        <v>2415</v>
      </c>
      <c r="J293" s="3139" t="s">
        <v>2416</v>
      </c>
      <c r="K293" s="3139" t="s">
        <v>2457</v>
      </c>
      <c r="L293" s="3139"/>
      <c r="M293" s="3133" t="s">
        <v>722</v>
      </c>
    </row>
    <row r="294" spans="1:14" ht="20.100000000000001" customHeight="1">
      <c r="B294" s="3145"/>
      <c r="C294" s="3146"/>
      <c r="D294" s="3146"/>
      <c r="E294" s="3146"/>
      <c r="F294" s="3146"/>
      <c r="G294" s="3147"/>
      <c r="H294" s="54"/>
      <c r="I294" s="3138"/>
      <c r="J294" s="3139"/>
      <c r="K294" s="3139"/>
      <c r="L294" s="3139"/>
      <c r="M294" s="3133"/>
    </row>
    <row r="295" spans="1:14" ht="20.100000000000001" customHeight="1">
      <c r="B295" s="3140" t="s">
        <v>2450</v>
      </c>
      <c r="C295" s="3141" t="s">
        <v>2451</v>
      </c>
      <c r="D295" s="3141" t="s">
        <v>2452</v>
      </c>
      <c r="E295" s="3141" t="s">
        <v>2457</v>
      </c>
      <c r="F295" s="3141" t="s">
        <v>722</v>
      </c>
      <c r="G295" s="3142"/>
      <c r="H295" s="54"/>
      <c r="I295" s="3134">
        <v>1</v>
      </c>
      <c r="J295" s="3114">
        <v>22</v>
      </c>
      <c r="K295" s="3114">
        <v>1</v>
      </c>
      <c r="L295" s="3143"/>
      <c r="M295" s="3116">
        <f>(((J295/2)*(J295/2)*3.1416)*K295)*I295</f>
        <v>380.1336</v>
      </c>
    </row>
    <row r="296" spans="1:14" ht="20.100000000000001" customHeight="1">
      <c r="B296" s="3140"/>
      <c r="C296" s="3141"/>
      <c r="D296" s="3141"/>
      <c r="E296" s="3141"/>
      <c r="F296" s="3141"/>
      <c r="G296" s="3142"/>
      <c r="H296" s="54"/>
      <c r="I296" s="3134"/>
      <c r="J296" s="3114"/>
      <c r="K296" s="3114"/>
      <c r="L296" s="3143"/>
      <c r="M296" s="3116"/>
    </row>
    <row r="297" spans="1:14" ht="20.100000000000001" customHeight="1">
      <c r="B297" s="3134">
        <v>1</v>
      </c>
      <c r="C297" s="3114">
        <v>30</v>
      </c>
      <c r="D297" s="3114">
        <v>20</v>
      </c>
      <c r="E297" s="3073">
        <v>1</v>
      </c>
      <c r="F297" s="3136">
        <f>((C297*D297)*E297)*B297</f>
        <v>600</v>
      </c>
      <c r="G297" s="3137"/>
      <c r="H297" s="54"/>
      <c r="I297" s="3138" t="s">
        <v>2415</v>
      </c>
      <c r="J297" s="3139" t="s">
        <v>2416</v>
      </c>
      <c r="K297" s="3139" t="s">
        <v>2457</v>
      </c>
      <c r="L297" s="3139" t="s">
        <v>2442</v>
      </c>
      <c r="M297" s="3133" t="s">
        <v>722</v>
      </c>
    </row>
    <row r="298" spans="1:14" ht="20.100000000000001" customHeight="1">
      <c r="B298" s="3134"/>
      <c r="C298" s="3114"/>
      <c r="D298" s="3114"/>
      <c r="E298" s="3073"/>
      <c r="F298" s="3136"/>
      <c r="G298" s="3137"/>
      <c r="H298" s="54"/>
      <c r="I298" s="3138"/>
      <c r="J298" s="3139"/>
      <c r="K298" s="3139"/>
      <c r="L298" s="3139"/>
      <c r="M298" s="3133"/>
    </row>
    <row r="299" spans="1:14" ht="20.100000000000001" customHeight="1">
      <c r="B299" s="3117" t="s">
        <v>2453</v>
      </c>
      <c r="C299" s="3118"/>
      <c r="D299" s="3118"/>
      <c r="E299" s="3118"/>
      <c r="F299" s="3118"/>
      <c r="G299" s="3119"/>
      <c r="H299" s="54"/>
      <c r="I299" s="3134">
        <v>1</v>
      </c>
      <c r="J299" s="3114">
        <v>22</v>
      </c>
      <c r="K299" s="3114">
        <v>1</v>
      </c>
      <c r="L299" s="3135">
        <v>3</v>
      </c>
      <c r="M299" s="3116">
        <f>(((J299/2)*(J299/2)*PI()*K299)*I299)/L299</f>
        <v>126.71090369478833</v>
      </c>
    </row>
    <row r="300" spans="1:14" ht="20.100000000000001" customHeight="1">
      <c r="B300" s="2149" t="s">
        <v>8</v>
      </c>
      <c r="C300" s="2145"/>
      <c r="D300" s="2145"/>
      <c r="E300" s="2145"/>
      <c r="F300" s="2145"/>
      <c r="G300" s="2150"/>
      <c r="H300" s="54"/>
      <c r="I300" s="3134"/>
      <c r="J300" s="3114"/>
      <c r="K300" s="3114"/>
      <c r="L300" s="3135"/>
      <c r="M300" s="3116"/>
    </row>
    <row r="301" spans="1:14" ht="20.100000000000001" customHeight="1" thickBot="1">
      <c r="B301" s="2151"/>
      <c r="C301" s="2152"/>
      <c r="D301" s="2152"/>
      <c r="E301" s="2152"/>
      <c r="F301" s="2152"/>
      <c r="G301" s="2153"/>
      <c r="H301" s="54"/>
      <c r="I301" s="3117" t="s">
        <v>2453</v>
      </c>
      <c r="J301" s="3118"/>
      <c r="K301" s="3118"/>
      <c r="L301" s="3118"/>
      <c r="M301" s="3119"/>
    </row>
    <row r="302" spans="1:14" ht="20.100000000000001" customHeight="1">
      <c r="B302" s="54"/>
      <c r="C302" s="54"/>
      <c r="D302" s="54"/>
      <c r="E302" s="1029"/>
      <c r="F302" s="1029"/>
      <c r="G302" s="54"/>
      <c r="H302" s="54"/>
      <c r="I302" s="3120" t="s">
        <v>8</v>
      </c>
      <c r="J302" s="3121"/>
      <c r="K302" s="3121"/>
      <c r="L302" s="3121"/>
      <c r="M302" s="3122"/>
    </row>
    <row r="303" spans="1:14" ht="20.100000000000001" customHeight="1" thickBot="1">
      <c r="B303" s="54"/>
      <c r="C303" s="54"/>
      <c r="D303" s="54"/>
      <c r="E303" s="1029"/>
      <c r="F303" s="1029"/>
      <c r="G303" s="54"/>
      <c r="H303" s="54"/>
      <c r="I303" s="3123"/>
      <c r="J303" s="3124"/>
      <c r="K303" s="3124"/>
      <c r="L303" s="3124"/>
      <c r="M303" s="3125"/>
      <c r="N303" s="58"/>
    </row>
    <row r="304" spans="1:14" ht="20.100000000000001" customHeight="1">
      <c r="A304" s="54"/>
      <c r="B304" s="54"/>
      <c r="C304" s="54"/>
      <c r="D304" s="54"/>
      <c r="E304" s="1029"/>
      <c r="F304" s="1029"/>
      <c r="G304" s="54"/>
      <c r="H304" s="58"/>
      <c r="I304" s="58"/>
      <c r="J304" s="58"/>
      <c r="K304" s="58"/>
      <c r="L304" s="58"/>
      <c r="M304" s="58"/>
      <c r="N304" s="58"/>
    </row>
    <row r="305" spans="2:17" ht="20.100000000000001" customHeight="1">
      <c r="B305" s="3126" t="s">
        <v>2485</v>
      </c>
      <c r="C305" s="3127"/>
      <c r="D305" s="3127"/>
      <c r="E305" s="3127"/>
      <c r="F305" s="3127"/>
      <c r="G305" s="3127"/>
      <c r="H305" s="3127"/>
      <c r="I305" s="3127"/>
      <c r="J305" s="3127"/>
      <c r="K305" s="3127"/>
      <c r="L305" s="58"/>
      <c r="M305" s="58"/>
      <c r="N305" s="58"/>
      <c r="O305" s="58"/>
      <c r="P305" s="58"/>
      <c r="Q305" s="58"/>
    </row>
    <row r="306" spans="2:17" ht="20.100000000000001" customHeight="1">
      <c r="B306" s="3126"/>
      <c r="C306" s="3127"/>
      <c r="D306" s="3127"/>
      <c r="E306" s="3127"/>
      <c r="F306" s="3127"/>
      <c r="G306" s="3127"/>
      <c r="H306" s="3127"/>
      <c r="I306" s="3127"/>
      <c r="J306" s="3127"/>
      <c r="K306" s="3127"/>
      <c r="L306" s="58"/>
      <c r="M306" s="58"/>
      <c r="N306" s="58"/>
      <c r="O306" s="58"/>
      <c r="P306" s="58"/>
      <c r="Q306" s="58"/>
    </row>
    <row r="307" spans="2:17" ht="20.100000000000001" customHeight="1">
      <c r="B307" s="3128" t="s">
        <v>2486</v>
      </c>
      <c r="C307" s="3129"/>
      <c r="D307" s="3129"/>
      <c r="E307" s="3129"/>
      <c r="F307" s="3129"/>
      <c r="G307" s="3129"/>
      <c r="H307" s="3129"/>
      <c r="I307" s="3129"/>
      <c r="J307" s="3129"/>
      <c r="K307" s="3130"/>
      <c r="L307" s="58"/>
      <c r="M307" s="58"/>
      <c r="N307" s="58"/>
      <c r="O307" s="58"/>
      <c r="P307" s="58"/>
      <c r="Q307" s="58"/>
    </row>
    <row r="308" spans="2:17" ht="20.100000000000001" customHeight="1">
      <c r="B308" s="739"/>
      <c r="C308" s="3131" t="s">
        <v>2415</v>
      </c>
      <c r="D308" s="3131"/>
      <c r="E308" s="3131" t="s">
        <v>2416</v>
      </c>
      <c r="F308" s="3131"/>
      <c r="G308" s="3131" t="s">
        <v>2457</v>
      </c>
      <c r="H308" s="3131"/>
      <c r="I308" s="3132" t="s">
        <v>2487</v>
      </c>
      <c r="J308" s="3132"/>
      <c r="K308" s="2155" t="s">
        <v>722</v>
      </c>
      <c r="L308" s="58"/>
      <c r="M308" s="58"/>
      <c r="N308" s="58"/>
      <c r="O308" s="58"/>
      <c r="P308" s="58"/>
      <c r="Q308" s="58"/>
    </row>
    <row r="309" spans="2:17" ht="20.100000000000001" customHeight="1">
      <c r="B309" s="3113" t="s">
        <v>75</v>
      </c>
      <c r="C309" s="3071">
        <v>1</v>
      </c>
      <c r="D309" s="3071"/>
      <c r="E309" s="3114">
        <v>26</v>
      </c>
      <c r="F309" s="3114"/>
      <c r="G309" s="3114">
        <v>4</v>
      </c>
      <c r="H309" s="3114"/>
      <c r="I309" s="3115">
        <f>(I313/K313)*K309</f>
        <v>0.47499999999999998</v>
      </c>
      <c r="J309" s="3115"/>
      <c r="K309" s="3116">
        <f>(((E309/2)*(E309/2)*PI())*G309)*C309</f>
        <v>2123.7166338267002</v>
      </c>
      <c r="L309" s="58"/>
      <c r="M309" s="58"/>
      <c r="N309" s="58"/>
      <c r="O309" s="58"/>
      <c r="P309" s="58"/>
      <c r="Q309" s="58"/>
    </row>
    <row r="310" spans="2:17" ht="20.100000000000001" customHeight="1">
      <c r="B310" s="3113"/>
      <c r="C310" s="3071"/>
      <c r="D310" s="3071"/>
      <c r="E310" s="3114"/>
      <c r="F310" s="3114"/>
      <c r="G310" s="3114"/>
      <c r="H310" s="3114"/>
      <c r="I310" s="3115"/>
      <c r="J310" s="3115"/>
      <c r="K310" s="3116"/>
      <c r="L310" s="58"/>
      <c r="M310" s="58"/>
      <c r="N310" s="58"/>
      <c r="O310" s="58"/>
      <c r="P310" s="58"/>
      <c r="Q310" s="58"/>
    </row>
    <row r="311" spans="2:17" ht="20.100000000000001" customHeight="1" thickBot="1">
      <c r="B311" s="739"/>
      <c r="C311" s="2156"/>
      <c r="D311" s="828"/>
      <c r="E311" s="2157"/>
      <c r="F311" s="828"/>
      <c r="G311" s="2157"/>
      <c r="H311" s="828"/>
      <c r="I311" s="2158"/>
      <c r="J311" s="828"/>
      <c r="K311" s="2155"/>
      <c r="L311" s="58"/>
      <c r="M311" s="58"/>
      <c r="N311" s="58"/>
      <c r="O311" s="58"/>
      <c r="P311" s="58"/>
      <c r="Q311" s="58"/>
    </row>
    <row r="312" spans="2:17" ht="20.100000000000001" customHeight="1">
      <c r="B312" s="3106" t="s">
        <v>2488</v>
      </c>
      <c r="C312" s="3088"/>
      <c r="D312" s="3088"/>
      <c r="E312" s="3088"/>
      <c r="F312" s="3088"/>
      <c r="G312" s="3088"/>
      <c r="H312" s="3088"/>
      <c r="I312" s="3088"/>
      <c r="J312" s="3088"/>
      <c r="K312" s="3107"/>
      <c r="L312" s="58"/>
      <c r="M312" s="58"/>
      <c r="N312" s="58"/>
      <c r="O312" s="58"/>
      <c r="P312" s="58"/>
      <c r="Q312" s="58"/>
    </row>
    <row r="313" spans="2:17" ht="20.100000000000001" customHeight="1">
      <c r="B313" s="3108" t="s">
        <v>95</v>
      </c>
      <c r="C313" s="3109">
        <v>1</v>
      </c>
      <c r="D313" s="3109"/>
      <c r="E313" s="3110">
        <v>26</v>
      </c>
      <c r="F313" s="3110"/>
      <c r="G313" s="3110">
        <v>4</v>
      </c>
      <c r="H313" s="3110"/>
      <c r="I313" s="3111">
        <v>0.47499999999999998</v>
      </c>
      <c r="J313" s="3111"/>
      <c r="K313" s="3112">
        <f>(((E313/2)*(E313/2)*PI())*G313)*C313</f>
        <v>2123.7166338267002</v>
      </c>
      <c r="L313" s="58"/>
      <c r="M313" s="58"/>
      <c r="N313" s="58"/>
      <c r="O313" s="58"/>
      <c r="P313" s="58"/>
      <c r="Q313" s="58"/>
    </row>
    <row r="314" spans="2:17" ht="20.100000000000001" customHeight="1">
      <c r="B314" s="3108"/>
      <c r="C314" s="3109"/>
      <c r="D314" s="3109"/>
      <c r="E314" s="3110"/>
      <c r="F314" s="3110"/>
      <c r="G314" s="3110"/>
      <c r="H314" s="3110"/>
      <c r="I314" s="3111"/>
      <c r="J314" s="3111"/>
      <c r="K314" s="3112"/>
      <c r="L314" s="58"/>
      <c r="M314" s="58"/>
      <c r="N314" s="58"/>
      <c r="O314" s="58"/>
      <c r="P314" s="58"/>
      <c r="Q314" s="58"/>
    </row>
    <row r="315" spans="2:17" ht="20.100000000000001" customHeight="1">
      <c r="B315" s="3093" t="s">
        <v>2489</v>
      </c>
      <c r="C315" s="3094"/>
      <c r="D315" s="3094"/>
      <c r="E315" s="3094"/>
      <c r="F315" s="3094"/>
      <c r="G315" s="3094"/>
      <c r="H315" s="3094"/>
      <c r="I315" s="3094"/>
      <c r="J315" s="3094"/>
      <c r="K315" s="3095"/>
      <c r="L315" s="58"/>
      <c r="M315" s="58"/>
      <c r="N315" s="58"/>
      <c r="O315" s="58"/>
      <c r="P315" s="58"/>
      <c r="Q315" s="58"/>
    </row>
    <row r="316" spans="2:17" ht="20.100000000000001" customHeight="1">
      <c r="B316" s="2159" t="s">
        <v>75</v>
      </c>
      <c r="C316" s="3096" t="s">
        <v>2490</v>
      </c>
      <c r="D316" s="3096"/>
      <c r="E316" s="3096"/>
      <c r="F316" s="3096"/>
      <c r="G316" s="3096"/>
      <c r="H316" s="3096"/>
      <c r="I316" s="3096"/>
      <c r="J316" s="3096"/>
      <c r="K316" s="3097"/>
      <c r="L316" s="58"/>
      <c r="M316" s="58"/>
      <c r="N316" s="58"/>
      <c r="O316" s="58"/>
      <c r="P316" s="58"/>
      <c r="Q316" s="58"/>
    </row>
    <row r="317" spans="2:17" ht="20.100000000000001" customHeight="1">
      <c r="B317" s="3098" t="s">
        <v>95</v>
      </c>
      <c r="C317" s="3099" t="s">
        <v>2491</v>
      </c>
      <c r="D317" s="3099"/>
      <c r="E317" s="3099"/>
      <c r="F317" s="3099"/>
      <c r="G317" s="3099"/>
      <c r="H317" s="3099"/>
      <c r="I317" s="3099"/>
      <c r="J317" s="3099"/>
      <c r="K317" s="3100"/>
      <c r="L317" s="58"/>
      <c r="M317" s="58"/>
      <c r="N317" s="58"/>
      <c r="O317" s="58"/>
      <c r="P317" s="58"/>
      <c r="Q317" s="58"/>
    </row>
    <row r="318" spans="2:17" ht="20.100000000000001" customHeight="1">
      <c r="B318" s="3098"/>
      <c r="C318" s="3099"/>
      <c r="D318" s="3099"/>
      <c r="E318" s="3099"/>
      <c r="F318" s="3099"/>
      <c r="G318" s="3099"/>
      <c r="H318" s="3099"/>
      <c r="I318" s="3099"/>
      <c r="J318" s="3099"/>
      <c r="K318" s="3100"/>
      <c r="L318" s="58"/>
      <c r="M318" s="58"/>
      <c r="N318" s="58"/>
      <c r="O318" s="58"/>
      <c r="P318" s="58"/>
      <c r="Q318" s="58"/>
    </row>
    <row r="319" spans="2:17" ht="20.100000000000001" customHeight="1">
      <c r="B319" s="3101"/>
      <c r="C319" s="3102"/>
      <c r="D319" s="3102"/>
      <c r="E319" s="3102"/>
      <c r="F319" s="3102"/>
      <c r="G319" s="3102"/>
      <c r="H319" s="3102"/>
      <c r="I319" s="3102"/>
      <c r="J319" s="3102"/>
      <c r="K319" s="3103"/>
      <c r="L319" s="58"/>
      <c r="M319" s="58"/>
      <c r="N319" s="58"/>
      <c r="O319" s="58"/>
      <c r="P319" s="58"/>
      <c r="Q319" s="58"/>
    </row>
    <row r="320" spans="2:17" ht="20.100000000000001" customHeight="1">
      <c r="B320" s="3104" t="s">
        <v>2492</v>
      </c>
      <c r="C320" s="3105"/>
      <c r="D320" s="3105"/>
      <c r="E320" s="3105"/>
      <c r="F320" s="2160"/>
      <c r="G320" s="2160"/>
      <c r="H320" s="2160"/>
      <c r="I320" s="2161" t="s">
        <v>66</v>
      </c>
      <c r="J320" s="2162">
        <f>SUM(D321:D322,G321:G322,J321:J322)</f>
        <v>0.47500000000000003</v>
      </c>
      <c r="K320" s="2163"/>
      <c r="L320" s="58"/>
      <c r="M320" s="58"/>
      <c r="N320" s="58"/>
      <c r="O320" s="58"/>
      <c r="P320" s="58"/>
      <c r="Q320" s="58"/>
    </row>
    <row r="321" spans="2:17" ht="20.100000000000001" customHeight="1">
      <c r="B321" s="3089" t="s">
        <v>2493</v>
      </c>
      <c r="C321" s="3090"/>
      <c r="D321" s="2164">
        <v>0.25</v>
      </c>
      <c r="E321" s="3090" t="s">
        <v>429</v>
      </c>
      <c r="F321" s="3090"/>
      <c r="G321" s="2164">
        <v>5.0000000000000001E-3</v>
      </c>
      <c r="H321" s="3090" t="s">
        <v>2494</v>
      </c>
      <c r="I321" s="3090"/>
      <c r="J321" s="2164">
        <v>2.5000000000000001E-2</v>
      </c>
      <c r="K321" s="2165"/>
      <c r="L321" s="58"/>
      <c r="M321" s="58"/>
      <c r="N321" s="58"/>
      <c r="O321" s="58"/>
      <c r="P321" s="58"/>
      <c r="Q321" s="58"/>
    </row>
    <row r="322" spans="2:17" ht="20.100000000000001" customHeight="1">
      <c r="B322" s="3091" t="s">
        <v>2495</v>
      </c>
      <c r="C322" s="3092"/>
      <c r="D322" s="2166">
        <v>0.125</v>
      </c>
      <c r="E322" s="3092" t="s">
        <v>2496</v>
      </c>
      <c r="F322" s="3092"/>
      <c r="G322" s="2166">
        <v>0.02</v>
      </c>
      <c r="H322" s="3092" t="s">
        <v>2329</v>
      </c>
      <c r="I322" s="3092"/>
      <c r="J322" s="2166">
        <v>0.05</v>
      </c>
      <c r="K322" s="2167"/>
      <c r="L322" s="58"/>
      <c r="M322" s="58"/>
      <c r="N322" s="58"/>
      <c r="O322" s="58"/>
      <c r="P322" s="58"/>
      <c r="Q322" s="58"/>
    </row>
    <row r="323" spans="2:17" ht="20.100000000000001" customHeight="1">
      <c r="B323" s="3077" t="s">
        <v>8</v>
      </c>
      <c r="C323" s="3078"/>
      <c r="D323" s="3078"/>
      <c r="E323" s="3078"/>
      <c r="F323" s="3078"/>
      <c r="G323" s="3078"/>
      <c r="H323" s="3078"/>
      <c r="I323" s="3078"/>
      <c r="J323" s="3078"/>
      <c r="K323" s="3079"/>
      <c r="L323" s="58"/>
      <c r="M323" s="58"/>
      <c r="N323" s="58"/>
      <c r="O323" s="58"/>
      <c r="P323" s="58"/>
      <c r="Q323" s="58"/>
    </row>
    <row r="324" spans="2:17" ht="20.100000000000001" customHeight="1" thickBot="1">
      <c r="B324" s="2905"/>
      <c r="C324" s="2906"/>
      <c r="D324" s="2906"/>
      <c r="E324" s="2906"/>
      <c r="F324" s="2906"/>
      <c r="G324" s="2906"/>
      <c r="H324" s="2906"/>
      <c r="I324" s="2906"/>
      <c r="J324" s="2906"/>
      <c r="K324" s="2907"/>
      <c r="L324" s="58"/>
      <c r="M324" s="58"/>
      <c r="N324" s="58"/>
      <c r="O324" s="58"/>
      <c r="P324" s="58"/>
      <c r="Q324" s="58"/>
    </row>
    <row r="325" spans="2:17" ht="20.100000000000001" customHeight="1" thickBot="1">
      <c r="B325" s="54"/>
      <c r="C325" s="54"/>
      <c r="D325" s="54"/>
      <c r="E325" s="1029"/>
      <c r="F325" s="1029"/>
      <c r="G325" s="54"/>
      <c r="H325" s="54"/>
      <c r="I325" s="54"/>
      <c r="J325" s="54"/>
      <c r="K325" s="54"/>
      <c r="L325" s="58"/>
      <c r="M325" s="58"/>
      <c r="N325" s="58"/>
      <c r="O325" s="58"/>
      <c r="P325" s="58"/>
      <c r="Q325" s="58"/>
    </row>
    <row r="326" spans="2:17" ht="20.100000000000001" customHeight="1">
      <c r="B326" s="3080" t="s">
        <v>2497</v>
      </c>
      <c r="C326" s="3080"/>
      <c r="D326" s="3080"/>
      <c r="E326" s="3080"/>
      <c r="F326" s="3080"/>
      <c r="G326" s="3080"/>
      <c r="H326" s="3080"/>
      <c r="I326" s="3080"/>
      <c r="J326" s="3080"/>
      <c r="K326" s="3080"/>
      <c r="L326" s="3080"/>
      <c r="M326" s="3080"/>
      <c r="N326" s="3081"/>
      <c r="O326" s="58"/>
      <c r="P326" s="58"/>
      <c r="Q326" s="58"/>
    </row>
    <row r="327" spans="2:17" ht="20.100000000000001" customHeight="1">
      <c r="B327" s="3082"/>
      <c r="C327" s="3082"/>
      <c r="D327" s="3082"/>
      <c r="E327" s="3082"/>
      <c r="F327" s="3082"/>
      <c r="G327" s="3082"/>
      <c r="H327" s="3082"/>
      <c r="I327" s="3082"/>
      <c r="J327" s="3082"/>
      <c r="K327" s="3082"/>
      <c r="L327" s="3082"/>
      <c r="M327" s="3082"/>
      <c r="N327" s="3083"/>
      <c r="O327" s="58"/>
      <c r="P327" s="58"/>
      <c r="Q327" s="58"/>
    </row>
    <row r="328" spans="2:17" ht="20.100000000000001" customHeight="1">
      <c r="B328" s="3082"/>
      <c r="C328" s="3082"/>
      <c r="D328" s="3082"/>
      <c r="E328" s="3082"/>
      <c r="F328" s="3082"/>
      <c r="G328" s="3082"/>
      <c r="H328" s="3082"/>
      <c r="I328" s="3082"/>
      <c r="J328" s="3082"/>
      <c r="K328" s="3082"/>
      <c r="L328" s="3082"/>
      <c r="M328" s="3082"/>
      <c r="N328" s="3083"/>
      <c r="O328" s="58"/>
      <c r="P328" s="58"/>
      <c r="Q328" s="58"/>
    </row>
    <row r="329" spans="2:17" ht="20.100000000000001" customHeight="1">
      <c r="B329" s="2168"/>
      <c r="C329" s="3084" t="s">
        <v>2498</v>
      </c>
      <c r="D329" s="3084"/>
      <c r="E329" s="3084"/>
      <c r="F329" s="3084"/>
      <c r="G329" s="3084"/>
      <c r="H329" s="3084"/>
      <c r="I329" s="3084"/>
      <c r="J329" s="3084"/>
      <c r="K329" s="3084"/>
      <c r="L329" s="3084"/>
      <c r="M329" s="3084"/>
      <c r="N329" s="2102"/>
      <c r="O329" s="58"/>
      <c r="P329" s="58"/>
      <c r="Q329" s="58"/>
    </row>
    <row r="330" spans="2:17" ht="20.100000000000001" customHeight="1">
      <c r="B330" s="2168"/>
      <c r="C330" s="3085" t="s">
        <v>2499</v>
      </c>
      <c r="D330" s="3085"/>
      <c r="E330" s="3085"/>
      <c r="F330" s="3085"/>
      <c r="G330" s="3085"/>
      <c r="H330" s="3085"/>
      <c r="I330" s="3085"/>
      <c r="J330" s="3085"/>
      <c r="K330" s="3085"/>
      <c r="L330" s="3085"/>
      <c r="M330" s="3085"/>
      <c r="N330" s="2102"/>
      <c r="O330" s="58"/>
      <c r="P330" s="58"/>
      <c r="Q330" s="58"/>
    </row>
    <row r="331" spans="2:17" ht="20.100000000000001" customHeight="1">
      <c r="B331" s="2168"/>
      <c r="C331" s="3086" t="s">
        <v>2500</v>
      </c>
      <c r="D331" s="3086"/>
      <c r="E331" s="3086"/>
      <c r="F331" s="3086"/>
      <c r="G331" s="3086"/>
      <c r="H331" s="3086"/>
      <c r="I331" s="3086"/>
      <c r="J331" s="3086"/>
      <c r="K331" s="3086"/>
      <c r="L331" s="3086"/>
      <c r="M331" s="3086"/>
      <c r="N331" s="2102"/>
      <c r="O331" s="58"/>
      <c r="P331" s="58"/>
      <c r="Q331" s="58"/>
    </row>
    <row r="332" spans="2:17" ht="20.100000000000001" customHeight="1" thickBot="1">
      <c r="B332" s="2168"/>
      <c r="C332" s="3087"/>
      <c r="D332" s="3087"/>
      <c r="E332" s="3087"/>
      <c r="F332" s="3087"/>
      <c r="G332" s="3087"/>
      <c r="H332" s="3087"/>
      <c r="I332" s="3087"/>
      <c r="J332" s="3087"/>
      <c r="K332" s="3087"/>
      <c r="L332" s="3087"/>
      <c r="M332" s="3087"/>
      <c r="N332" s="2102"/>
      <c r="O332" s="58"/>
      <c r="P332" s="58"/>
      <c r="Q332" s="58"/>
    </row>
    <row r="333" spans="2:17" ht="20.100000000000001" customHeight="1">
      <c r="B333" s="2168"/>
      <c r="C333" s="2169"/>
      <c r="D333" s="3088" t="s">
        <v>2486</v>
      </c>
      <c r="E333" s="3088"/>
      <c r="F333" s="3088"/>
      <c r="G333" s="3088"/>
      <c r="H333" s="3088"/>
      <c r="I333" s="3088"/>
      <c r="J333" s="3088"/>
      <c r="K333" s="3088"/>
      <c r="L333" s="3088"/>
      <c r="M333" s="3088"/>
      <c r="N333" s="2102"/>
      <c r="O333" s="58"/>
      <c r="P333" s="58"/>
      <c r="Q333" s="58"/>
    </row>
    <row r="334" spans="2:17" ht="20.100000000000001" customHeight="1">
      <c r="B334" s="2168"/>
      <c r="C334" s="3075" t="s">
        <v>2501</v>
      </c>
      <c r="D334" s="3076" t="s">
        <v>2502</v>
      </c>
      <c r="E334" s="3076" t="s">
        <v>2503</v>
      </c>
      <c r="F334" s="3070" t="s">
        <v>2504</v>
      </c>
      <c r="G334" s="3070" t="s">
        <v>2505</v>
      </c>
      <c r="H334" s="3068" t="s">
        <v>2506</v>
      </c>
      <c r="I334" s="3068" t="s">
        <v>2507</v>
      </c>
      <c r="J334" s="2203"/>
      <c r="K334" s="2203"/>
      <c r="L334" s="3069" t="s">
        <v>2508</v>
      </c>
      <c r="M334" s="3070" t="s">
        <v>2509</v>
      </c>
      <c r="N334" s="2102"/>
      <c r="O334" s="58"/>
      <c r="P334" s="58"/>
      <c r="Q334" s="58"/>
    </row>
    <row r="335" spans="2:17" ht="20.100000000000001" customHeight="1">
      <c r="B335" s="2168"/>
      <c r="C335" s="3075"/>
      <c r="D335" s="3076"/>
      <c r="E335" s="3076"/>
      <c r="F335" s="3070"/>
      <c r="G335" s="3070"/>
      <c r="H335" s="3068"/>
      <c r="I335" s="3068"/>
      <c r="J335" s="2203"/>
      <c r="K335" s="2203"/>
      <c r="L335" s="3069"/>
      <c r="M335" s="3070"/>
      <c r="N335" s="2102"/>
      <c r="O335" s="58"/>
      <c r="P335" s="58"/>
      <c r="Q335" s="58"/>
    </row>
    <row r="336" spans="2:17" ht="20.100000000000001" customHeight="1">
      <c r="B336" s="2168"/>
      <c r="C336" s="3075"/>
      <c r="D336" s="3076"/>
      <c r="E336" s="3076"/>
      <c r="F336" s="3070"/>
      <c r="G336" s="3070"/>
      <c r="H336" s="3068"/>
      <c r="I336" s="3068"/>
      <c r="J336" s="2203"/>
      <c r="K336" s="2203"/>
      <c r="L336" s="3069"/>
      <c r="M336" s="3070"/>
      <c r="N336" s="2102"/>
      <c r="O336" s="58"/>
      <c r="P336" s="58"/>
      <c r="Q336" s="58"/>
    </row>
    <row r="337" spans="2:17" ht="20.100000000000001" customHeight="1">
      <c r="B337" s="2168"/>
      <c r="C337" s="2170" t="s">
        <v>1484</v>
      </c>
      <c r="D337" s="2170" t="s">
        <v>1484</v>
      </c>
      <c r="E337" s="2170" t="s">
        <v>1484</v>
      </c>
      <c r="F337" s="2170" t="s">
        <v>1484</v>
      </c>
      <c r="G337" s="2170" t="s">
        <v>1484</v>
      </c>
      <c r="H337" s="2170" t="s">
        <v>1484</v>
      </c>
      <c r="I337" s="2170" t="s">
        <v>1484</v>
      </c>
      <c r="J337" s="2170"/>
      <c r="K337" s="2170"/>
      <c r="L337" s="2171"/>
      <c r="M337" s="2172"/>
      <c r="N337" s="2102"/>
      <c r="O337" s="58"/>
      <c r="P337" s="58"/>
      <c r="Q337" s="58"/>
    </row>
    <row r="338" spans="2:17" ht="20.100000000000001" customHeight="1">
      <c r="B338" s="2168"/>
      <c r="C338" s="3071">
        <v>1</v>
      </c>
      <c r="D338" s="3072">
        <v>32.5</v>
      </c>
      <c r="E338" s="3072">
        <v>53</v>
      </c>
      <c r="F338" s="3073">
        <v>2.5</v>
      </c>
      <c r="G338" s="3074">
        <v>2.5</v>
      </c>
      <c r="H338" s="3074">
        <v>5</v>
      </c>
      <c r="I338" s="3074">
        <v>5</v>
      </c>
      <c r="J338" s="2196"/>
      <c r="K338" s="2196"/>
      <c r="L338" s="3061">
        <f>(L345/M350)*M342</f>
        <v>1.7392499999999997</v>
      </c>
      <c r="M338" s="3062">
        <f>(M347/M350)*M342</f>
        <v>1.75</v>
      </c>
      <c r="N338" s="2102"/>
      <c r="O338" s="58"/>
      <c r="P338" s="58"/>
      <c r="Q338" s="58"/>
    </row>
    <row r="339" spans="2:17" ht="20.100000000000001" customHeight="1">
      <c r="B339" s="2168"/>
      <c r="C339" s="3071"/>
      <c r="D339" s="3072"/>
      <c r="E339" s="3072"/>
      <c r="F339" s="3073"/>
      <c r="G339" s="3074"/>
      <c r="H339" s="3074"/>
      <c r="I339" s="3074"/>
      <c r="J339" s="2196"/>
      <c r="K339" s="2196"/>
      <c r="L339" s="3061"/>
      <c r="M339" s="3062"/>
      <c r="N339" s="2102"/>
      <c r="O339" s="58"/>
      <c r="P339" s="58"/>
      <c r="Q339" s="58"/>
    </row>
    <row r="340" spans="2:17" ht="20.100000000000001" customHeight="1">
      <c r="B340" s="2168"/>
      <c r="C340" s="2197" t="s">
        <v>75</v>
      </c>
      <c r="D340" s="2197" t="s">
        <v>95</v>
      </c>
      <c r="E340" s="2197" t="s">
        <v>98</v>
      </c>
      <c r="F340" s="2197" t="s">
        <v>103</v>
      </c>
      <c r="G340" s="2197" t="s">
        <v>99</v>
      </c>
      <c r="H340" s="2197" t="s">
        <v>101</v>
      </c>
      <c r="I340" s="2197" t="s">
        <v>6</v>
      </c>
      <c r="J340" s="2197"/>
      <c r="K340" s="2197"/>
      <c r="L340" s="2197" t="s">
        <v>104</v>
      </c>
      <c r="M340" s="2197" t="s">
        <v>106</v>
      </c>
      <c r="N340" s="2102"/>
      <c r="O340" s="58"/>
      <c r="P340" s="58"/>
      <c r="Q340" s="58"/>
    </row>
    <row r="341" spans="2:17" ht="20.100000000000001" customHeight="1">
      <c r="B341" s="2168"/>
      <c r="C341" s="2191">
        <f>(D338*E338)*C338</f>
        <v>1722.5</v>
      </c>
      <c r="D341" s="2191">
        <f>((D338*F338)*2)*C338+((E338*F338)*2)*C338</f>
        <v>427.5</v>
      </c>
      <c r="E341" s="2191">
        <f>((D338*H341)*2)*C338+((E338*H341)*2)*C338</f>
        <v>85.5</v>
      </c>
      <c r="F341" s="2191">
        <f>((D338*I341)*2)*C338+((E338*I341)*2)*C338</f>
        <v>85.5</v>
      </c>
      <c r="G341" s="2192">
        <f>G338/10</f>
        <v>0.25</v>
      </c>
      <c r="H341" s="2192">
        <f>H338/10</f>
        <v>0.5</v>
      </c>
      <c r="I341" s="2192">
        <f>I338/10</f>
        <v>0.5</v>
      </c>
      <c r="J341" s="2192"/>
      <c r="K341" s="2192"/>
      <c r="L341" s="2191">
        <f>SUM(C341:F341)</f>
        <v>2321</v>
      </c>
      <c r="M341" s="2193">
        <f>(C341*F338)/1000</f>
        <v>4.3062500000000004</v>
      </c>
      <c r="N341" s="2102"/>
      <c r="O341" s="58"/>
      <c r="P341" s="58"/>
      <c r="Q341" s="58"/>
    </row>
    <row r="342" spans="2:17" ht="20.100000000000001" customHeight="1" thickBot="1">
      <c r="B342" s="2168"/>
      <c r="C342" s="2198"/>
      <c r="D342" s="2198"/>
      <c r="E342" s="2198"/>
      <c r="F342" s="2198"/>
      <c r="G342" s="2199"/>
      <c r="H342" s="2199"/>
      <c r="I342" s="2200" t="s">
        <v>2510</v>
      </c>
      <c r="J342" s="2200"/>
      <c r="K342" s="2200"/>
      <c r="L342" s="2201" t="s">
        <v>108</v>
      </c>
      <c r="M342" s="2202">
        <f>L341*G341</f>
        <v>580.25</v>
      </c>
      <c r="N342" s="2102"/>
      <c r="O342" s="58"/>
      <c r="P342" s="58"/>
      <c r="Q342" s="58"/>
    </row>
    <row r="343" spans="2:17" ht="20.100000000000001" customHeight="1">
      <c r="B343" s="2168"/>
      <c r="C343" s="2169"/>
      <c r="D343" s="3063" t="s">
        <v>2488</v>
      </c>
      <c r="E343" s="3063"/>
      <c r="F343" s="3063"/>
      <c r="G343" s="3063"/>
      <c r="H343" s="3063"/>
      <c r="I343" s="3063"/>
      <c r="J343" s="3063"/>
      <c r="K343" s="3063"/>
      <c r="L343" s="3063"/>
      <c r="M343" s="3063"/>
      <c r="N343" s="2102"/>
      <c r="O343" s="58"/>
      <c r="P343" s="58"/>
      <c r="Q343" s="58"/>
    </row>
    <row r="344" spans="2:17" ht="20.100000000000001" customHeight="1">
      <c r="B344" s="2168"/>
      <c r="C344" s="3064" t="s">
        <v>2511</v>
      </c>
      <c r="D344" s="3064"/>
      <c r="E344" s="3064"/>
      <c r="F344" s="3064"/>
      <c r="G344" s="3064"/>
      <c r="H344" s="3064"/>
      <c r="I344" s="3064"/>
      <c r="J344" s="3064"/>
      <c r="K344" s="3064"/>
      <c r="L344" s="3064"/>
      <c r="M344" s="2173" t="s">
        <v>1484</v>
      </c>
      <c r="N344" s="2102"/>
      <c r="O344" s="58"/>
      <c r="P344" s="58"/>
      <c r="Q344" s="58"/>
    </row>
    <row r="345" spans="2:17" ht="20.100000000000001" customHeight="1">
      <c r="B345" s="2168"/>
      <c r="C345" s="3065">
        <v>4</v>
      </c>
      <c r="D345" s="3066">
        <v>32.5</v>
      </c>
      <c r="E345" s="3066">
        <v>53</v>
      </c>
      <c r="F345" s="3067">
        <v>2.5</v>
      </c>
      <c r="G345" s="3056">
        <v>2.5</v>
      </c>
      <c r="H345" s="3056">
        <v>5</v>
      </c>
      <c r="I345" s="3056">
        <v>5</v>
      </c>
      <c r="J345" s="2185"/>
      <c r="K345" s="2185"/>
      <c r="L345" s="3057">
        <f>E361</f>
        <v>6.956999999999999</v>
      </c>
      <c r="M345" s="3058">
        <v>7</v>
      </c>
      <c r="N345" s="2102"/>
      <c r="O345" s="58"/>
      <c r="P345" s="58"/>
      <c r="Q345" s="58"/>
    </row>
    <row r="346" spans="2:17" ht="20.100000000000001" customHeight="1">
      <c r="B346" s="2168"/>
      <c r="C346" s="3065"/>
      <c r="D346" s="3066"/>
      <c r="E346" s="3066"/>
      <c r="F346" s="3067"/>
      <c r="G346" s="3056"/>
      <c r="H346" s="3056"/>
      <c r="I346" s="3056"/>
      <c r="J346" s="2185"/>
      <c r="K346" s="2185"/>
      <c r="L346" s="3057"/>
      <c r="M346" s="3058"/>
      <c r="N346" s="2102"/>
      <c r="O346" s="58"/>
      <c r="P346" s="58"/>
      <c r="Q346" s="58"/>
    </row>
    <row r="347" spans="2:17" ht="20.100000000000001" customHeight="1">
      <c r="B347" s="2168"/>
      <c r="C347" s="2186">
        <f>ROW()-2</f>
        <v>345</v>
      </c>
      <c r="D347" s="3059" t="s">
        <v>2512</v>
      </c>
      <c r="E347" s="3059"/>
      <c r="F347" s="3059"/>
      <c r="G347" s="3059"/>
      <c r="H347" s="3059"/>
      <c r="I347" s="3059"/>
      <c r="J347" s="2187"/>
      <c r="K347" s="2187"/>
      <c r="L347" s="2188"/>
      <c r="M347" s="2189">
        <f>IF(ISBLANK(M345),L345,M345)</f>
        <v>7</v>
      </c>
      <c r="N347" s="2102"/>
      <c r="O347" s="58"/>
      <c r="P347" s="58"/>
      <c r="Q347" s="58"/>
    </row>
    <row r="348" spans="2:17" ht="20.100000000000001" customHeight="1">
      <c r="B348" s="2168"/>
      <c r="C348" s="2190" t="s">
        <v>75</v>
      </c>
      <c r="D348" s="2190" t="s">
        <v>95</v>
      </c>
      <c r="E348" s="2190" t="s">
        <v>98</v>
      </c>
      <c r="F348" s="2190" t="s">
        <v>103</v>
      </c>
      <c r="G348" s="2190" t="s">
        <v>99</v>
      </c>
      <c r="H348" s="2190" t="s">
        <v>101</v>
      </c>
      <c r="I348" s="2190" t="s">
        <v>6</v>
      </c>
      <c r="J348" s="2190"/>
      <c r="K348" s="2190"/>
      <c r="L348" s="2190" t="s">
        <v>104</v>
      </c>
      <c r="M348" s="2190" t="s">
        <v>106</v>
      </c>
      <c r="N348" s="2102"/>
      <c r="O348" s="58"/>
      <c r="P348" s="58"/>
      <c r="Q348" s="58"/>
    </row>
    <row r="349" spans="2:17" ht="20.100000000000001" customHeight="1">
      <c r="B349" s="2168"/>
      <c r="C349" s="2191">
        <f>(D345*E345)*C345</f>
        <v>6890</v>
      </c>
      <c r="D349" s="2191">
        <f>((D345*F345)*2)*C345+((E345*F345)*2)*C345</f>
        <v>1710</v>
      </c>
      <c r="E349" s="2191">
        <f>((D345*H349)*2)*C345+((E345*H349)*2)*C345</f>
        <v>342</v>
      </c>
      <c r="F349" s="2191">
        <f>((D345*I349)*2)*C345+((E345*I349)*2)*C345</f>
        <v>342</v>
      </c>
      <c r="G349" s="2192">
        <f>G345/10</f>
        <v>0.25</v>
      </c>
      <c r="H349" s="2192">
        <f>H345/10</f>
        <v>0.5</v>
      </c>
      <c r="I349" s="2192">
        <f>I345/10</f>
        <v>0.5</v>
      </c>
      <c r="J349" s="2192"/>
      <c r="K349" s="2192"/>
      <c r="L349" s="2191">
        <f>SUM(C349:F349)</f>
        <v>9284</v>
      </c>
      <c r="M349" s="2193">
        <f>(C349*F345)/1000</f>
        <v>17.225000000000001</v>
      </c>
      <c r="N349" s="2102"/>
      <c r="O349" s="58"/>
      <c r="P349" s="58"/>
      <c r="Q349" s="58"/>
    </row>
    <row r="350" spans="2:17" ht="20.100000000000001" customHeight="1" thickBot="1">
      <c r="B350" s="2168"/>
      <c r="C350" s="2188"/>
      <c r="D350" s="2188"/>
      <c r="E350" s="2188"/>
      <c r="F350" s="2188"/>
      <c r="G350" s="2188"/>
      <c r="H350" s="2188"/>
      <c r="I350" s="2194" t="s">
        <v>2513</v>
      </c>
      <c r="J350" s="2194"/>
      <c r="K350" s="2194"/>
      <c r="L350" s="2190" t="s">
        <v>108</v>
      </c>
      <c r="M350" s="2195">
        <f>L349*G349</f>
        <v>2321</v>
      </c>
      <c r="N350" s="2102"/>
      <c r="O350" s="58"/>
      <c r="P350" s="58"/>
      <c r="Q350" s="58"/>
    </row>
    <row r="351" spans="2:17" ht="20.100000000000001" customHeight="1">
      <c r="B351" s="2168"/>
      <c r="C351" s="2174"/>
      <c r="D351" s="2174"/>
      <c r="E351" s="2174"/>
      <c r="F351" s="2174"/>
      <c r="G351" s="2174"/>
      <c r="H351" s="2174"/>
      <c r="I351" s="2175"/>
      <c r="J351" s="2175"/>
      <c r="K351" s="2175"/>
      <c r="L351" s="2176"/>
      <c r="M351" s="2177"/>
      <c r="N351" s="2102"/>
      <c r="O351" s="58"/>
      <c r="P351" s="58"/>
      <c r="Q351" s="58"/>
    </row>
    <row r="352" spans="2:17" ht="20.100000000000001" customHeight="1">
      <c r="B352" s="2168"/>
      <c r="C352" s="2179" t="s">
        <v>75</v>
      </c>
      <c r="D352" s="2180" t="s">
        <v>2514</v>
      </c>
      <c r="E352" s="2180"/>
      <c r="F352" s="2179" t="s">
        <v>101</v>
      </c>
      <c r="G352" s="2181" t="s">
        <v>2515</v>
      </c>
      <c r="H352" s="2121"/>
      <c r="I352" s="2179" t="s">
        <v>106</v>
      </c>
      <c r="J352" s="3060" t="s">
        <v>2516</v>
      </c>
      <c r="K352" s="3060"/>
      <c r="L352" s="3060"/>
      <c r="M352" s="3060"/>
      <c r="N352" s="2102"/>
      <c r="O352" s="58"/>
      <c r="P352" s="58"/>
      <c r="Q352" s="58"/>
    </row>
    <row r="353" spans="2:17" ht="20.100000000000001" customHeight="1">
      <c r="B353" s="2168"/>
      <c r="C353" s="2179" t="s">
        <v>95</v>
      </c>
      <c r="D353" s="2180" t="s">
        <v>2517</v>
      </c>
      <c r="E353" s="2180"/>
      <c r="F353" s="2179" t="s">
        <v>6</v>
      </c>
      <c r="G353" s="2180" t="s">
        <v>2518</v>
      </c>
      <c r="H353" s="2121"/>
      <c r="I353" s="2182"/>
      <c r="J353" s="3060"/>
      <c r="K353" s="3060"/>
      <c r="L353" s="3060"/>
      <c r="M353" s="3060"/>
      <c r="N353" s="2102"/>
      <c r="O353" s="58"/>
      <c r="P353" s="58"/>
      <c r="Q353" s="58"/>
    </row>
    <row r="354" spans="2:17" ht="20.100000000000001" customHeight="1">
      <c r="B354" s="2168"/>
      <c r="C354" s="2179" t="s">
        <v>98</v>
      </c>
      <c r="D354" s="2180" t="s">
        <v>2519</v>
      </c>
      <c r="E354" s="2180"/>
      <c r="F354" s="2179" t="s">
        <v>103</v>
      </c>
      <c r="G354" s="2180" t="s">
        <v>2520</v>
      </c>
      <c r="H354" s="2121"/>
      <c r="I354" s="2179" t="s">
        <v>108</v>
      </c>
      <c r="J354" s="2180" t="s">
        <v>2521</v>
      </c>
      <c r="K354" s="2183"/>
      <c r="L354" s="2180"/>
      <c r="M354" s="2183"/>
      <c r="N354" s="2102"/>
      <c r="O354" s="58"/>
      <c r="P354" s="58"/>
      <c r="Q354" s="58"/>
    </row>
    <row r="355" spans="2:17" ht="20.100000000000001" customHeight="1">
      <c r="B355" s="2168"/>
      <c r="C355" s="2179" t="s">
        <v>99</v>
      </c>
      <c r="D355" s="2180" t="s">
        <v>2522</v>
      </c>
      <c r="E355" s="2181"/>
      <c r="F355" s="2179" t="s">
        <v>104</v>
      </c>
      <c r="G355" s="2180" t="s">
        <v>2523</v>
      </c>
      <c r="H355" s="2121"/>
      <c r="I355" s="2121"/>
      <c r="J355" s="2121"/>
      <c r="K355" s="2121"/>
      <c r="L355" s="2184"/>
      <c r="M355" s="2183"/>
      <c r="N355" s="2102"/>
      <c r="O355" s="58"/>
      <c r="P355" s="58"/>
      <c r="Q355" s="58"/>
    </row>
    <row r="356" spans="2:17" ht="20.100000000000001" customHeight="1" thickBot="1">
      <c r="B356" s="2168"/>
      <c r="C356" s="2179"/>
      <c r="D356" s="2180"/>
      <c r="E356" s="2181"/>
      <c r="F356" s="2179"/>
      <c r="G356" s="2180"/>
      <c r="H356" s="2121"/>
      <c r="I356" s="2121"/>
      <c r="J356" s="2121"/>
      <c r="K356" s="2121"/>
      <c r="L356" s="2184"/>
      <c r="M356" s="2183"/>
      <c r="N356" s="2102"/>
      <c r="O356" s="58"/>
      <c r="P356" s="58"/>
      <c r="Q356" s="58"/>
    </row>
    <row r="357" spans="2:17" ht="20.100000000000001" customHeight="1">
      <c r="B357" s="2168"/>
      <c r="C357" s="2169"/>
      <c r="D357" s="3045" t="s">
        <v>2524</v>
      </c>
      <c r="E357" s="3045"/>
      <c r="F357" s="3045"/>
      <c r="G357" s="3045"/>
      <c r="H357" s="3045"/>
      <c r="I357" s="3045"/>
      <c r="J357" s="3045"/>
      <c r="K357" s="3045"/>
      <c r="L357" s="3045"/>
      <c r="M357" s="3045"/>
      <c r="N357" s="2102"/>
      <c r="O357" s="58"/>
      <c r="P357" s="58"/>
      <c r="Q357" s="58"/>
    </row>
    <row r="358" spans="2:17" ht="20.100000000000001" customHeight="1">
      <c r="B358" s="2168"/>
      <c r="C358" s="3046" t="s">
        <v>2525</v>
      </c>
      <c r="D358" s="3046"/>
      <c r="E358" s="3046"/>
      <c r="F358" s="3046"/>
      <c r="G358" s="3046"/>
      <c r="H358" s="3046"/>
      <c r="I358" s="3046"/>
      <c r="J358" s="3046"/>
      <c r="K358" s="3046"/>
      <c r="L358" s="3046"/>
      <c r="M358" s="3046"/>
      <c r="N358" s="2102"/>
      <c r="O358" s="58"/>
      <c r="P358" s="58"/>
      <c r="Q358" s="58"/>
    </row>
    <row r="359" spans="2:17" ht="20.100000000000001" customHeight="1">
      <c r="B359" s="2168"/>
      <c r="C359" s="3046"/>
      <c r="D359" s="3046"/>
      <c r="E359" s="3046"/>
      <c r="F359" s="3046"/>
      <c r="G359" s="3046"/>
      <c r="H359" s="3046"/>
      <c r="I359" s="3046"/>
      <c r="J359" s="3046"/>
      <c r="K359" s="3046"/>
      <c r="L359" s="3046"/>
      <c r="M359" s="3046"/>
      <c r="N359" s="2102"/>
      <c r="O359" s="58"/>
      <c r="P359" s="58"/>
      <c r="Q359" s="58"/>
    </row>
    <row r="360" spans="2:17" ht="20.100000000000001" customHeight="1">
      <c r="B360" s="2168"/>
      <c r="C360" s="3047"/>
      <c r="D360" s="3047"/>
      <c r="E360" s="3047"/>
      <c r="F360" s="3047"/>
      <c r="G360" s="3047"/>
      <c r="H360" s="3047"/>
      <c r="I360" s="3047"/>
      <c r="J360" s="3047"/>
      <c r="K360" s="3047"/>
      <c r="L360" s="3047"/>
      <c r="M360" s="3047"/>
      <c r="N360" s="2102"/>
      <c r="O360" s="58"/>
      <c r="P360" s="58"/>
      <c r="Q360" s="58"/>
    </row>
    <row r="361" spans="2:17" ht="20.100000000000001" customHeight="1">
      <c r="B361" s="2168"/>
      <c r="C361" s="2204"/>
      <c r="D361" s="2205" t="s">
        <v>2526</v>
      </c>
      <c r="E361" s="2206">
        <f>SUM(E362:E364,I362:I364)</f>
        <v>6.956999999999999</v>
      </c>
      <c r="F361" s="2204"/>
      <c r="G361" s="2204"/>
      <c r="H361" s="2204"/>
      <c r="I361" s="2204"/>
      <c r="J361" s="2204"/>
      <c r="K361" s="2204"/>
      <c r="L361" s="2204"/>
      <c r="M361" s="2204"/>
      <c r="N361" s="2102"/>
      <c r="O361" s="58"/>
      <c r="P361" s="58"/>
      <c r="Q361" s="58"/>
    </row>
    <row r="362" spans="2:17" ht="20.100000000000001" customHeight="1">
      <c r="B362" s="2168"/>
      <c r="C362" s="874"/>
      <c r="D362" s="2207" t="s">
        <v>2493</v>
      </c>
      <c r="E362" s="2208">
        <v>3.5</v>
      </c>
      <c r="F362" s="2209"/>
      <c r="G362" s="874"/>
      <c r="H362" s="2207" t="s">
        <v>2527</v>
      </c>
      <c r="I362" s="2208">
        <v>0.55000000000000004</v>
      </c>
      <c r="J362" s="2208"/>
      <c r="K362" s="2208"/>
      <c r="L362" s="2209"/>
      <c r="M362" s="2204"/>
      <c r="N362" s="2102"/>
      <c r="O362" s="58"/>
      <c r="P362" s="58"/>
      <c r="Q362" s="58"/>
    </row>
    <row r="363" spans="2:17" ht="20.100000000000001" customHeight="1">
      <c r="B363" s="2168"/>
      <c r="C363" s="874"/>
      <c r="D363" s="2207" t="s">
        <v>2495</v>
      </c>
      <c r="E363" s="2208">
        <v>1.6</v>
      </c>
      <c r="F363" s="2209"/>
      <c r="G363" s="874"/>
      <c r="H363" s="2207" t="s">
        <v>2528</v>
      </c>
      <c r="I363" s="2208">
        <v>4.4999999999999998E-2</v>
      </c>
      <c r="J363" s="2208"/>
      <c r="K363" s="2208"/>
      <c r="L363" s="2209"/>
      <c r="M363" s="2204"/>
      <c r="N363" s="2102"/>
      <c r="O363" s="58"/>
      <c r="P363" s="58"/>
      <c r="Q363" s="58"/>
    </row>
    <row r="364" spans="2:17" ht="20.100000000000001" customHeight="1">
      <c r="B364" s="2168"/>
      <c r="C364" s="874"/>
      <c r="D364" s="2207" t="s">
        <v>2529</v>
      </c>
      <c r="E364" s="2208">
        <v>1.25</v>
      </c>
      <c r="F364" s="2209"/>
      <c r="G364" s="874"/>
      <c r="H364" s="2210" t="s">
        <v>2530</v>
      </c>
      <c r="I364" s="2208">
        <v>1.2E-2</v>
      </c>
      <c r="J364" s="2208"/>
      <c r="K364" s="2208"/>
      <c r="L364" s="2209"/>
      <c r="M364" s="2204"/>
      <c r="N364" s="2102"/>
      <c r="O364" s="58"/>
      <c r="P364" s="58"/>
      <c r="Q364" s="58"/>
    </row>
    <row r="365" spans="2:17" ht="20.100000000000001" customHeight="1">
      <c r="B365" s="2168"/>
      <c r="C365" s="2211" t="s">
        <v>2531</v>
      </c>
      <c r="D365" s="2204"/>
      <c r="E365" s="2204"/>
      <c r="F365" s="2204"/>
      <c r="G365" s="2204"/>
      <c r="H365" s="2204"/>
      <c r="I365" s="2204"/>
      <c r="J365" s="2204"/>
      <c r="K365" s="2204"/>
      <c r="L365" s="2204"/>
      <c r="M365" s="2204"/>
      <c r="N365" s="2102"/>
      <c r="O365" s="58"/>
      <c r="P365" s="58"/>
      <c r="Q365" s="58"/>
    </row>
    <row r="366" spans="2:17" ht="20.100000000000001" customHeight="1">
      <c r="B366" s="2168"/>
      <c r="C366" s="3048" t="s">
        <v>2537</v>
      </c>
      <c r="D366" s="3048"/>
      <c r="E366" s="3048"/>
      <c r="F366" s="3048"/>
      <c r="G366" s="3048"/>
      <c r="H366" s="3048"/>
      <c r="I366" s="3048"/>
      <c r="J366" s="3048"/>
      <c r="K366" s="3048"/>
      <c r="L366" s="3048"/>
      <c r="M366" s="3048"/>
      <c r="N366" s="2102"/>
      <c r="O366" s="58"/>
      <c r="P366" s="58"/>
      <c r="Q366" s="58"/>
    </row>
    <row r="367" spans="2:17" ht="20.100000000000001" customHeight="1">
      <c r="B367" s="2168"/>
      <c r="C367" s="3048"/>
      <c r="D367" s="3048"/>
      <c r="E367" s="3048"/>
      <c r="F367" s="3048"/>
      <c r="G367" s="3048"/>
      <c r="H367" s="3048"/>
      <c r="I367" s="3048"/>
      <c r="J367" s="3048"/>
      <c r="K367" s="3048"/>
      <c r="L367" s="3048"/>
      <c r="M367" s="3048"/>
      <c r="N367" s="2102"/>
      <c r="O367" s="58"/>
      <c r="P367" s="58"/>
      <c r="Q367" s="58"/>
    </row>
    <row r="368" spans="2:17" ht="20.100000000000001" customHeight="1">
      <c r="B368" s="2168"/>
      <c r="C368" s="2211" t="s">
        <v>2538</v>
      </c>
      <c r="D368" s="2204"/>
      <c r="E368" s="2204"/>
      <c r="F368" s="2204"/>
      <c r="G368" s="2204"/>
      <c r="H368" s="2204"/>
      <c r="I368" s="2204"/>
      <c r="J368" s="2204"/>
      <c r="K368" s="2204"/>
      <c r="L368" s="2204"/>
      <c r="M368" s="2204"/>
      <c r="N368" s="2102"/>
      <c r="O368" s="58"/>
      <c r="P368" s="58"/>
      <c r="Q368" s="58"/>
    </row>
    <row r="369" spans="2:17" ht="20.100000000000001" customHeight="1">
      <c r="B369" s="2168"/>
      <c r="C369" s="2212" t="s">
        <v>2532</v>
      </c>
      <c r="D369" s="2204"/>
      <c r="E369" s="2204"/>
      <c r="F369" s="2204"/>
      <c r="G369" s="2204"/>
      <c r="H369" s="2204"/>
      <c r="I369" s="2204"/>
      <c r="J369" s="2204"/>
      <c r="K369" s="2204"/>
      <c r="L369" s="2204"/>
      <c r="M369" s="2204"/>
      <c r="N369" s="2102"/>
      <c r="O369" s="58"/>
      <c r="P369" s="58"/>
      <c r="Q369" s="58"/>
    </row>
    <row r="370" spans="2:17" ht="20.100000000000001" customHeight="1">
      <c r="B370" s="2168"/>
      <c r="C370" s="2213" t="s">
        <v>2533</v>
      </c>
      <c r="D370" s="2204"/>
      <c r="E370" s="2204"/>
      <c r="F370" s="2213" t="s">
        <v>2534</v>
      </c>
      <c r="G370" s="2204"/>
      <c r="H370" s="2213" t="s">
        <v>2535</v>
      </c>
      <c r="I370" s="2204"/>
      <c r="J370" s="2204"/>
      <c r="K370" s="2204"/>
      <c r="L370" s="2204"/>
      <c r="M370" s="2204"/>
      <c r="N370" s="2102"/>
      <c r="O370" s="58"/>
      <c r="P370" s="58"/>
      <c r="Q370" s="58"/>
    </row>
    <row r="371" spans="2:17" ht="20.100000000000001" customHeight="1">
      <c r="B371" s="2168"/>
      <c r="C371" s="2213" t="s">
        <v>5</v>
      </c>
      <c r="D371" s="2214" t="s">
        <v>2536</v>
      </c>
      <c r="E371" s="2204"/>
      <c r="F371" s="2204"/>
      <c r="G371" s="2204"/>
      <c r="H371" s="2204"/>
      <c r="I371" s="2204"/>
      <c r="J371" s="2204"/>
      <c r="K371" s="2204"/>
      <c r="L371" s="2204"/>
      <c r="M371" s="2204"/>
      <c r="N371" s="2102"/>
      <c r="O371" s="58"/>
      <c r="P371" s="58"/>
      <c r="Q371" s="58"/>
    </row>
    <row r="372" spans="2:17" ht="20.100000000000001" customHeight="1">
      <c r="B372" s="2168"/>
      <c r="C372" s="2204"/>
      <c r="D372" s="2204"/>
      <c r="E372" s="2204"/>
      <c r="F372" s="2204"/>
      <c r="G372" s="2204"/>
      <c r="H372" s="2204"/>
      <c r="I372" s="2204"/>
      <c r="J372" s="2204"/>
      <c r="K372" s="2204"/>
      <c r="L372" s="2204"/>
      <c r="M372" s="2204"/>
      <c r="N372" s="2102"/>
      <c r="O372" s="58"/>
      <c r="P372" s="58"/>
      <c r="Q372" s="58"/>
    </row>
    <row r="373" spans="2:17" ht="20.100000000000001" customHeight="1">
      <c r="B373" s="2168"/>
      <c r="C373" s="3049" t="s">
        <v>8</v>
      </c>
      <c r="D373" s="3049"/>
      <c r="E373" s="3049"/>
      <c r="F373" s="3049"/>
      <c r="G373" s="3049"/>
      <c r="H373" s="3049"/>
      <c r="I373" s="3049"/>
      <c r="J373" s="3049"/>
      <c r="K373" s="3049"/>
      <c r="L373" s="3049"/>
      <c r="M373" s="3049"/>
      <c r="N373" s="2102"/>
      <c r="O373" s="58"/>
      <c r="P373" s="58"/>
      <c r="Q373" s="58"/>
    </row>
    <row r="374" spans="2:17" ht="20.100000000000001" customHeight="1" thickBot="1">
      <c r="B374" s="2178"/>
      <c r="C374" s="2906"/>
      <c r="D374" s="2906"/>
      <c r="E374" s="2906"/>
      <c r="F374" s="2906"/>
      <c r="G374" s="2906"/>
      <c r="H374" s="2906"/>
      <c r="I374" s="2906"/>
      <c r="J374" s="2906"/>
      <c r="K374" s="2906"/>
      <c r="L374" s="2906"/>
      <c r="M374" s="2906"/>
      <c r="N374" s="962"/>
      <c r="O374" s="58"/>
      <c r="P374" s="58"/>
      <c r="Q374" s="58"/>
    </row>
    <row r="375" spans="2:17" ht="20.100000000000001" customHeight="1" thickBot="1">
      <c r="B375" s="54"/>
      <c r="C375" s="54"/>
      <c r="D375" s="54"/>
      <c r="E375" s="1029"/>
      <c r="F375" s="1029"/>
      <c r="G375" s="54"/>
      <c r="H375" s="54"/>
      <c r="I375" s="54"/>
      <c r="J375" s="54"/>
      <c r="K375" s="54"/>
      <c r="L375" s="58"/>
      <c r="M375" s="58"/>
      <c r="N375" s="58"/>
      <c r="O375" s="58"/>
      <c r="P375" s="58"/>
      <c r="Q375" s="58"/>
    </row>
    <row r="376" spans="2:17" ht="20.100000000000001" customHeight="1">
      <c r="B376" s="3050" t="s">
        <v>2459</v>
      </c>
      <c r="C376" s="3051"/>
      <c r="D376" s="3051"/>
      <c r="E376" s="3051"/>
      <c r="F376" s="3051"/>
      <c r="G376" s="3051"/>
      <c r="H376" s="3051"/>
      <c r="I376" s="3051"/>
      <c r="J376" s="3052"/>
      <c r="K376" s="54"/>
      <c r="L376" s="58"/>
      <c r="M376" s="58"/>
      <c r="N376" s="58"/>
      <c r="O376" s="58"/>
      <c r="P376" s="58"/>
      <c r="Q376" s="58"/>
    </row>
    <row r="377" spans="2:17" ht="20.100000000000001" customHeight="1">
      <c r="B377" s="3053" t="s">
        <v>2484</v>
      </c>
      <c r="C377" s="3054"/>
      <c r="D377" s="3054"/>
      <c r="E377" s="3054"/>
      <c r="F377" s="3054"/>
      <c r="G377" s="3054"/>
      <c r="H377" s="3054"/>
      <c r="I377" s="3054"/>
      <c r="J377" s="3055"/>
      <c r="K377" s="54"/>
      <c r="L377" s="58"/>
      <c r="M377" s="58"/>
      <c r="N377" s="58"/>
      <c r="O377" s="58"/>
      <c r="P377" s="58"/>
      <c r="Q377" s="58"/>
    </row>
    <row r="378" spans="2:17" ht="20.100000000000001" customHeight="1">
      <c r="B378" s="3030" t="s">
        <v>2460</v>
      </c>
      <c r="C378" s="3031"/>
      <c r="D378" s="3031"/>
      <c r="E378" s="3031"/>
      <c r="F378" s="3031"/>
      <c r="G378" s="3031"/>
      <c r="H378" s="3031"/>
      <c r="I378" s="3031"/>
      <c r="J378" s="3032"/>
      <c r="K378" s="54"/>
      <c r="L378" s="58"/>
      <c r="M378" s="58"/>
      <c r="N378" s="58"/>
      <c r="O378" s="58"/>
      <c r="P378" s="58"/>
      <c r="Q378" s="58"/>
    </row>
    <row r="379" spans="2:17" ht="20.100000000000001" customHeight="1">
      <c r="B379" s="3030"/>
      <c r="C379" s="3031"/>
      <c r="D379" s="3031"/>
      <c r="E379" s="3031"/>
      <c r="F379" s="3031"/>
      <c r="G379" s="3031"/>
      <c r="H379" s="3031"/>
      <c r="I379" s="3031"/>
      <c r="J379" s="3032"/>
      <c r="K379" s="54"/>
      <c r="L379" s="58"/>
      <c r="M379" s="58"/>
      <c r="N379" s="58"/>
      <c r="O379" s="58"/>
      <c r="P379" s="58"/>
      <c r="Q379" s="58"/>
    </row>
    <row r="380" spans="2:17" ht="20.100000000000001" customHeight="1">
      <c r="B380" s="2217" t="s">
        <v>2461</v>
      </c>
      <c r="C380" s="2218"/>
      <c r="D380" s="2218"/>
      <c r="E380" s="2218"/>
      <c r="F380" s="2218"/>
      <c r="G380" s="2218"/>
      <c r="H380" s="2218"/>
      <c r="I380" s="2218"/>
      <c r="J380" s="2219"/>
      <c r="K380" s="54"/>
      <c r="L380" s="58"/>
      <c r="M380" s="58"/>
      <c r="N380" s="58"/>
      <c r="O380" s="58"/>
      <c r="P380" s="58"/>
      <c r="Q380" s="58"/>
    </row>
    <row r="381" spans="2:17" ht="20.100000000000001" customHeight="1">
      <c r="B381" s="2217" t="s">
        <v>2462</v>
      </c>
      <c r="C381" s="2218"/>
      <c r="D381" s="2218"/>
      <c r="E381" s="2218"/>
      <c r="F381" s="2218"/>
      <c r="G381" s="2220" t="s">
        <v>2463</v>
      </c>
      <c r="H381" s="2218"/>
      <c r="I381" s="2218"/>
      <c r="J381" s="2219"/>
      <c r="K381" s="54"/>
      <c r="L381" s="58"/>
      <c r="M381" s="58"/>
      <c r="N381" s="58"/>
      <c r="O381" s="58"/>
      <c r="P381" s="58"/>
      <c r="Q381" s="58"/>
    </row>
    <row r="382" spans="2:17" ht="20.100000000000001" customHeight="1">
      <c r="B382" s="3033" t="s">
        <v>2464</v>
      </c>
      <c r="C382" s="3034"/>
      <c r="D382" s="3034"/>
      <c r="E382" s="3034"/>
      <c r="F382" s="3034"/>
      <c r="G382" s="3034"/>
      <c r="H382" s="3034"/>
      <c r="I382" s="3034"/>
      <c r="J382" s="3035"/>
      <c r="K382" s="54"/>
      <c r="L382" s="58"/>
      <c r="M382" s="58"/>
      <c r="N382" s="58"/>
      <c r="O382" s="58"/>
      <c r="P382" s="58"/>
      <c r="Q382" s="58"/>
    </row>
    <row r="383" spans="2:17" ht="20.100000000000001" customHeight="1">
      <c r="B383" s="3033"/>
      <c r="C383" s="3034"/>
      <c r="D383" s="3034"/>
      <c r="E383" s="3034"/>
      <c r="F383" s="3034"/>
      <c r="G383" s="3034"/>
      <c r="H383" s="3034"/>
      <c r="I383" s="3034"/>
      <c r="J383" s="3035"/>
      <c r="K383" s="54"/>
      <c r="L383" s="58"/>
      <c r="M383" s="58"/>
      <c r="N383" s="58"/>
      <c r="O383" s="58"/>
      <c r="P383" s="58"/>
      <c r="Q383" s="58"/>
    </row>
    <row r="384" spans="2:17" ht="20.100000000000001" customHeight="1">
      <c r="B384" s="3036" t="s">
        <v>2465</v>
      </c>
      <c r="C384" s="3037"/>
      <c r="D384" s="3037"/>
      <c r="E384" s="3037"/>
      <c r="F384" s="3037"/>
      <c r="G384" s="3037"/>
      <c r="H384" s="3037"/>
      <c r="I384" s="3037"/>
      <c r="J384" s="3038"/>
      <c r="K384" s="54"/>
      <c r="L384" s="58"/>
      <c r="M384" s="58"/>
      <c r="N384" s="58"/>
      <c r="O384" s="58"/>
      <c r="P384" s="58"/>
      <c r="Q384" s="58"/>
    </row>
    <row r="385" spans="2:17" ht="20.100000000000001" customHeight="1">
      <c r="B385" s="3036"/>
      <c r="C385" s="3037"/>
      <c r="D385" s="3037"/>
      <c r="E385" s="3037"/>
      <c r="F385" s="3037"/>
      <c r="G385" s="3037"/>
      <c r="H385" s="3037"/>
      <c r="I385" s="3037"/>
      <c r="J385" s="3038"/>
      <c r="K385" s="54"/>
      <c r="L385" s="58"/>
      <c r="M385" s="58"/>
      <c r="N385" s="58"/>
      <c r="O385" s="58"/>
      <c r="P385" s="58"/>
      <c r="Q385" s="58"/>
    </row>
    <row r="386" spans="2:17" ht="20.100000000000001" customHeight="1">
      <c r="B386" s="3039" t="s">
        <v>2466</v>
      </c>
      <c r="C386" s="3040"/>
      <c r="D386" s="3041">
        <v>9.86</v>
      </c>
      <c r="E386" s="3042" t="s">
        <v>2467</v>
      </c>
      <c r="F386" s="3041">
        <v>5.694</v>
      </c>
      <c r="G386" s="3043" t="s">
        <v>2468</v>
      </c>
      <c r="H386" s="3044">
        <f>D386*F386</f>
        <v>56.14284</v>
      </c>
      <c r="I386" s="3044" t="s">
        <v>2469</v>
      </c>
      <c r="J386" s="3026">
        <f>H386</f>
        <v>56.14284</v>
      </c>
      <c r="K386" s="54"/>
      <c r="L386" s="58"/>
      <c r="M386" s="58"/>
      <c r="N386" s="58"/>
      <c r="O386" s="58"/>
      <c r="P386" s="58"/>
      <c r="Q386" s="58"/>
    </row>
    <row r="387" spans="2:17" ht="20.100000000000001" customHeight="1">
      <c r="B387" s="3039"/>
      <c r="C387" s="3040"/>
      <c r="D387" s="3041"/>
      <c r="E387" s="3042"/>
      <c r="F387" s="3041"/>
      <c r="G387" s="3043"/>
      <c r="H387" s="3044"/>
      <c r="I387" s="3044"/>
      <c r="J387" s="3026"/>
      <c r="K387" s="54"/>
      <c r="L387" s="58"/>
      <c r="M387" s="58"/>
      <c r="N387" s="58"/>
      <c r="O387" s="58"/>
      <c r="P387" s="58"/>
      <c r="Q387" s="58"/>
    </row>
    <row r="388" spans="2:17" ht="20.100000000000001" customHeight="1">
      <c r="B388" s="2215"/>
      <c r="C388" s="2221" t="s">
        <v>2470</v>
      </c>
      <c r="D388" s="2121"/>
      <c r="E388" s="2121"/>
      <c r="F388" s="2121"/>
      <c r="G388" s="2121"/>
      <c r="H388" s="2121"/>
      <c r="I388" s="2121"/>
      <c r="J388" s="2216"/>
      <c r="K388" s="54"/>
      <c r="L388" s="58"/>
      <c r="M388" s="58"/>
      <c r="N388" s="58"/>
      <c r="O388" s="58"/>
      <c r="P388" s="58"/>
      <c r="Q388" s="58"/>
    </row>
    <row r="389" spans="2:17" ht="20.100000000000001" customHeight="1">
      <c r="B389" s="2215"/>
      <c r="C389" s="2221" t="s">
        <v>2471</v>
      </c>
      <c r="D389" s="2121"/>
      <c r="E389" s="2121"/>
      <c r="F389" s="2121"/>
      <c r="G389" s="2121"/>
      <c r="H389" s="2121"/>
      <c r="I389" s="2121"/>
      <c r="J389" s="2216"/>
      <c r="K389" s="54"/>
      <c r="L389" s="58"/>
      <c r="M389" s="58"/>
      <c r="N389" s="58"/>
      <c r="O389" s="58"/>
      <c r="P389" s="58"/>
      <c r="Q389" s="58"/>
    </row>
    <row r="390" spans="2:17" ht="20.100000000000001" customHeight="1">
      <c r="B390" s="2215"/>
      <c r="C390" s="2221" t="s">
        <v>2472</v>
      </c>
      <c r="D390" s="2121"/>
      <c r="E390" s="2121"/>
      <c r="F390" s="2121"/>
      <c r="G390" s="2121"/>
      <c r="H390" s="2121"/>
      <c r="I390" s="2121"/>
      <c r="J390" s="2216"/>
      <c r="K390" s="54"/>
      <c r="L390" s="58"/>
      <c r="M390" s="58"/>
      <c r="N390" s="58"/>
      <c r="O390" s="58"/>
      <c r="P390" s="58"/>
      <c r="Q390" s="58"/>
    </row>
    <row r="391" spans="2:17" ht="20.100000000000001" customHeight="1">
      <c r="B391" s="2215"/>
      <c r="C391" s="2221" t="s">
        <v>2473</v>
      </c>
      <c r="D391" s="2121"/>
      <c r="E391" s="2121"/>
      <c r="F391" s="2121"/>
      <c r="G391" s="2121"/>
      <c r="H391" s="2121"/>
      <c r="I391" s="2121"/>
      <c r="J391" s="2216"/>
      <c r="K391" s="54"/>
      <c r="L391" s="58"/>
      <c r="M391" s="58"/>
      <c r="N391" s="58"/>
      <c r="O391" s="58"/>
      <c r="P391" s="58"/>
      <c r="Q391" s="58"/>
    </row>
    <row r="392" spans="2:17" ht="20.100000000000001" customHeight="1">
      <c r="B392" s="3027" t="s">
        <v>2474</v>
      </c>
      <c r="C392" s="3028"/>
      <c r="D392" s="3028"/>
      <c r="E392" s="3028"/>
      <c r="F392" s="3028"/>
      <c r="G392" s="3028"/>
      <c r="H392" s="3028"/>
      <c r="I392" s="3028"/>
      <c r="J392" s="3029"/>
      <c r="K392" s="54"/>
      <c r="L392" s="58"/>
      <c r="M392" s="58"/>
      <c r="N392" s="58"/>
      <c r="O392" s="58"/>
      <c r="P392" s="58"/>
      <c r="Q392" s="58"/>
    </row>
    <row r="393" spans="2:17" ht="20.100000000000001" customHeight="1">
      <c r="B393" s="3027"/>
      <c r="C393" s="3028"/>
      <c r="D393" s="3028"/>
      <c r="E393" s="3028"/>
      <c r="F393" s="3028"/>
      <c r="G393" s="3028"/>
      <c r="H393" s="3028"/>
      <c r="I393" s="3028"/>
      <c r="J393" s="3029"/>
      <c r="K393" s="54"/>
      <c r="L393" s="58"/>
      <c r="M393" s="58"/>
      <c r="N393" s="58"/>
      <c r="O393" s="58"/>
      <c r="P393" s="58"/>
      <c r="Q393" s="58"/>
    </row>
    <row r="394" spans="2:17" ht="20.100000000000001" customHeight="1">
      <c r="B394" s="3027"/>
      <c r="C394" s="3028"/>
      <c r="D394" s="3028"/>
      <c r="E394" s="3028"/>
      <c r="F394" s="3028"/>
      <c r="G394" s="3028"/>
      <c r="H394" s="3028"/>
      <c r="I394" s="3028"/>
      <c r="J394" s="3029"/>
      <c r="K394" s="54"/>
      <c r="L394" s="58"/>
      <c r="M394" s="58"/>
      <c r="N394" s="58"/>
      <c r="O394" s="58"/>
      <c r="P394" s="58"/>
      <c r="Q394" s="58"/>
    </row>
    <row r="395" spans="2:17" ht="20.100000000000001" customHeight="1">
      <c r="B395" s="3027" t="s">
        <v>2475</v>
      </c>
      <c r="C395" s="3028"/>
      <c r="D395" s="3028"/>
      <c r="E395" s="3028"/>
      <c r="F395" s="3028"/>
      <c r="G395" s="3028"/>
      <c r="H395" s="3028"/>
      <c r="I395" s="3028"/>
      <c r="J395" s="3029"/>
      <c r="K395" s="54"/>
      <c r="L395" s="58"/>
      <c r="M395" s="58"/>
      <c r="N395" s="58"/>
      <c r="O395" s="58"/>
      <c r="P395" s="58"/>
      <c r="Q395" s="58"/>
    </row>
    <row r="396" spans="2:17" ht="20.100000000000001" customHeight="1">
      <c r="B396" s="3027"/>
      <c r="C396" s="3028"/>
      <c r="D396" s="3028"/>
      <c r="E396" s="3028"/>
      <c r="F396" s="3028"/>
      <c r="G396" s="3028"/>
      <c r="H396" s="3028"/>
      <c r="I396" s="3028"/>
      <c r="J396" s="3029"/>
      <c r="K396" s="54"/>
      <c r="L396" s="58"/>
      <c r="M396" s="58"/>
      <c r="N396" s="58"/>
      <c r="O396" s="58"/>
      <c r="P396" s="58"/>
      <c r="Q396" s="58"/>
    </row>
    <row r="397" spans="2:17" ht="20.100000000000001" customHeight="1">
      <c r="B397" s="2215"/>
      <c r="C397" s="2221" t="s">
        <v>2476</v>
      </c>
      <c r="D397" s="2121"/>
      <c r="E397" s="2121"/>
      <c r="F397" s="2121"/>
      <c r="G397" s="2121"/>
      <c r="H397" s="2121"/>
      <c r="I397" s="2121"/>
      <c r="J397" s="2216"/>
      <c r="K397" s="54"/>
      <c r="L397" s="58"/>
      <c r="M397" s="58"/>
      <c r="N397" s="58"/>
      <c r="O397" s="58"/>
      <c r="P397" s="58"/>
      <c r="Q397" s="58"/>
    </row>
    <row r="398" spans="2:17" ht="20.100000000000001" customHeight="1">
      <c r="B398" s="2215"/>
      <c r="C398" s="2221" t="s">
        <v>2477</v>
      </c>
      <c r="D398" s="2121"/>
      <c r="E398" s="2121"/>
      <c r="F398" s="2121"/>
      <c r="G398" s="2121"/>
      <c r="H398" s="2121"/>
      <c r="I398" s="2121"/>
      <c r="J398" s="2216"/>
      <c r="K398" s="54"/>
      <c r="L398" s="58"/>
      <c r="M398" s="58"/>
      <c r="N398" s="58"/>
      <c r="O398" s="58"/>
      <c r="P398" s="58"/>
      <c r="Q398" s="58"/>
    </row>
    <row r="399" spans="2:17" ht="20.100000000000001" customHeight="1">
      <c r="B399" s="1054"/>
      <c r="C399" s="710"/>
      <c r="D399" s="2121"/>
      <c r="E399" s="2121"/>
      <c r="F399" s="2121"/>
      <c r="G399" s="2121"/>
      <c r="H399" s="2121"/>
      <c r="I399" s="2121"/>
      <c r="J399" s="2216"/>
      <c r="K399" s="54"/>
      <c r="L399" s="58"/>
      <c r="M399" s="58"/>
      <c r="N399" s="58"/>
      <c r="O399" s="58"/>
      <c r="P399" s="58"/>
      <c r="Q399" s="58"/>
    </row>
    <row r="400" spans="2:17" ht="20.100000000000001" customHeight="1">
      <c r="B400" s="2215"/>
      <c r="C400" s="2221" t="s">
        <v>2478</v>
      </c>
      <c r="D400" s="2121"/>
      <c r="E400" s="2121"/>
      <c r="F400" s="2121"/>
      <c r="G400" s="2121"/>
      <c r="H400" s="2121"/>
      <c r="I400" s="2121"/>
      <c r="J400" s="2216"/>
      <c r="K400" s="54"/>
      <c r="L400" s="58"/>
      <c r="M400" s="58"/>
      <c r="N400" s="58"/>
      <c r="O400" s="58"/>
      <c r="P400" s="58"/>
      <c r="Q400" s="58"/>
    </row>
    <row r="401" spans="1:17" ht="20.100000000000001" customHeight="1">
      <c r="B401" s="2215"/>
      <c r="C401" s="2221" t="s">
        <v>2479</v>
      </c>
      <c r="D401" s="2121"/>
      <c r="E401" s="2121"/>
      <c r="F401" s="2121"/>
      <c r="G401" s="2121"/>
      <c r="H401" s="2121"/>
      <c r="I401" s="2121"/>
      <c r="J401" s="2216"/>
      <c r="K401" s="54"/>
      <c r="L401" s="58"/>
      <c r="M401" s="58"/>
      <c r="N401" s="58"/>
      <c r="O401" s="58"/>
      <c r="P401" s="58"/>
      <c r="Q401" s="58"/>
    </row>
    <row r="402" spans="1:17" ht="20.100000000000001" customHeight="1">
      <c r="B402" s="2215"/>
      <c r="C402" s="2221" t="s">
        <v>2480</v>
      </c>
      <c r="D402" s="2121"/>
      <c r="E402" s="2121"/>
      <c r="F402" s="2121"/>
      <c r="G402" s="2121"/>
      <c r="H402" s="2121"/>
      <c r="I402" s="2121"/>
      <c r="J402" s="2216"/>
      <c r="K402" s="54"/>
      <c r="L402" s="58"/>
      <c r="M402" s="58"/>
      <c r="N402" s="58"/>
      <c r="O402" s="58"/>
      <c r="P402" s="58"/>
      <c r="Q402" s="58"/>
    </row>
    <row r="403" spans="1:17" ht="20.100000000000001" customHeight="1">
      <c r="B403" s="2215"/>
      <c r="C403" s="2221" t="s">
        <v>2481</v>
      </c>
      <c r="D403" s="2121"/>
      <c r="E403" s="2121"/>
      <c r="F403" s="2121"/>
      <c r="G403" s="2121"/>
      <c r="H403" s="2121"/>
      <c r="I403" s="2121"/>
      <c r="J403" s="2216"/>
      <c r="K403" s="54"/>
      <c r="L403" s="58"/>
      <c r="M403" s="58"/>
      <c r="N403" s="58"/>
      <c r="O403" s="58"/>
      <c r="P403" s="58"/>
      <c r="Q403" s="58"/>
    </row>
    <row r="404" spans="1:17" ht="20.100000000000001" customHeight="1">
      <c r="B404" s="3027" t="s">
        <v>2482</v>
      </c>
      <c r="C404" s="3028"/>
      <c r="D404" s="3028"/>
      <c r="E404" s="3028"/>
      <c r="F404" s="3028"/>
      <c r="G404" s="3028"/>
      <c r="H404" s="3028"/>
      <c r="I404" s="3028"/>
      <c r="J404" s="3029"/>
      <c r="K404" s="54"/>
      <c r="L404" s="58"/>
      <c r="M404" s="58"/>
      <c r="N404" s="58"/>
      <c r="O404" s="58"/>
      <c r="P404" s="58"/>
      <c r="Q404" s="58"/>
    </row>
    <row r="405" spans="1:17" ht="20.100000000000001" customHeight="1">
      <c r="B405" s="3027"/>
      <c r="C405" s="3028"/>
      <c r="D405" s="3028"/>
      <c r="E405" s="3028"/>
      <c r="F405" s="3028"/>
      <c r="G405" s="3028"/>
      <c r="H405" s="3028"/>
      <c r="I405" s="3028"/>
      <c r="J405" s="3029"/>
      <c r="K405" s="54"/>
      <c r="L405" s="58"/>
      <c r="M405" s="58"/>
      <c r="N405" s="58"/>
      <c r="O405" s="58"/>
      <c r="P405" s="58"/>
      <c r="Q405" s="58"/>
    </row>
    <row r="406" spans="1:17" ht="20.100000000000001" customHeight="1">
      <c r="B406" s="2154" t="s">
        <v>2483</v>
      </c>
      <c r="C406" s="873"/>
      <c r="D406" s="873"/>
      <c r="E406" s="873"/>
      <c r="F406" s="873"/>
      <c r="G406" s="873"/>
      <c r="H406" s="873"/>
      <c r="I406" s="873"/>
      <c r="J406" s="2102"/>
      <c r="K406" s="54"/>
      <c r="L406" s="58"/>
      <c r="M406" s="58"/>
      <c r="N406" s="58"/>
      <c r="O406" s="58"/>
      <c r="P406" s="58"/>
      <c r="Q406" s="58"/>
    </row>
    <row r="407" spans="1:17" ht="20.100000000000001" customHeight="1" thickBot="1">
      <c r="B407" s="960"/>
      <c r="C407" s="961"/>
      <c r="D407" s="961"/>
      <c r="E407" s="961"/>
      <c r="F407" s="961"/>
      <c r="G407" s="961"/>
      <c r="H407" s="961"/>
      <c r="I407" s="961"/>
      <c r="J407" s="962"/>
      <c r="K407" s="54"/>
      <c r="L407" s="58"/>
      <c r="M407" s="58"/>
      <c r="N407" s="58"/>
      <c r="O407" s="58"/>
      <c r="P407" s="58"/>
      <c r="Q407" s="58"/>
    </row>
    <row r="408" spans="1:17" ht="20.100000000000001" customHeight="1">
      <c r="B408" s="54"/>
      <c r="C408" s="54"/>
      <c r="D408" s="54"/>
      <c r="E408" s="1029"/>
      <c r="F408" s="1029"/>
      <c r="G408" s="54"/>
      <c r="H408" s="54"/>
      <c r="I408" s="54"/>
      <c r="J408" s="54"/>
      <c r="K408" s="54"/>
      <c r="L408" s="58"/>
      <c r="M408" s="58"/>
      <c r="N408" s="58"/>
      <c r="O408" s="58"/>
      <c r="P408" s="58"/>
      <c r="Q408" s="58"/>
    </row>
    <row r="409" spans="1:17">
      <c r="A409" s="1647"/>
      <c r="B409" s="1648"/>
      <c r="C409" s="1649"/>
      <c r="D409" s="1649"/>
      <c r="E409" s="1649"/>
      <c r="F409" s="1649"/>
      <c r="G409" s="1649"/>
      <c r="H409" s="1649"/>
      <c r="I409" s="1649"/>
      <c r="J409" s="1648"/>
      <c r="K409" s="1648"/>
      <c r="L409" s="1648"/>
      <c r="M409" s="1647"/>
      <c r="N409" s="1647"/>
      <c r="O409" s="1647"/>
      <c r="P409" s="1647"/>
      <c r="Q409" s="1647"/>
    </row>
    <row r="410" spans="1:17" ht="20.100000000000001" customHeight="1">
      <c r="B410" s="54"/>
      <c r="C410" s="54"/>
      <c r="D410" s="54"/>
      <c r="E410" s="1029"/>
      <c r="F410" s="1029"/>
      <c r="G410" s="54"/>
      <c r="H410" s="54"/>
      <c r="I410" s="54"/>
      <c r="J410" s="54"/>
      <c r="K410" s="54"/>
      <c r="L410" s="58"/>
      <c r="M410" s="58"/>
      <c r="N410" s="58"/>
      <c r="O410" s="58"/>
      <c r="P410" s="58"/>
      <c r="Q410" s="58"/>
    </row>
    <row r="411" spans="1:17" ht="15.75" thickBot="1">
      <c r="A411" s="58"/>
      <c r="B411" s="57"/>
      <c r="C411" s="70"/>
      <c r="D411" s="70"/>
      <c r="E411" s="70"/>
      <c r="F411" s="70"/>
      <c r="G411" s="70"/>
      <c r="H411" s="70"/>
      <c r="I411" s="70"/>
      <c r="J411" s="57"/>
      <c r="K411" s="57"/>
      <c r="L411" s="57"/>
      <c r="M411" s="58"/>
      <c r="N411" s="58"/>
      <c r="O411" s="58"/>
      <c r="P411" s="58"/>
      <c r="Q411" s="58"/>
    </row>
    <row r="412" spans="1:17" ht="15.75">
      <c r="A412" s="58"/>
      <c r="B412" s="2413" t="s">
        <v>726</v>
      </c>
      <c r="C412" s="2414"/>
      <c r="D412" s="2414"/>
      <c r="E412" s="2414"/>
      <c r="F412" s="2414"/>
      <c r="G412" s="2415"/>
      <c r="H412" s="70"/>
      <c r="I412" s="2413" t="s">
        <v>726</v>
      </c>
      <c r="J412" s="2414"/>
      <c r="K412" s="2414"/>
      <c r="L412" s="2414"/>
      <c r="M412" s="2414"/>
      <c r="N412" s="2415"/>
      <c r="O412" s="58"/>
      <c r="P412" s="58"/>
      <c r="Q412" s="58"/>
    </row>
    <row r="413" spans="1:17">
      <c r="A413" s="58"/>
      <c r="B413" s="2416" t="s">
        <v>722</v>
      </c>
      <c r="C413" s="2417"/>
      <c r="D413" s="725" t="s">
        <v>725</v>
      </c>
      <c r="E413" s="2038" t="s">
        <v>721</v>
      </c>
      <c r="F413" s="2418" t="s">
        <v>66</v>
      </c>
      <c r="G413" s="2419"/>
      <c r="H413" s="70"/>
      <c r="I413" s="2416" t="s">
        <v>722</v>
      </c>
      <c r="J413" s="2417"/>
      <c r="K413" s="725" t="s">
        <v>725</v>
      </c>
      <c r="L413" s="2038" t="s">
        <v>721</v>
      </c>
      <c r="M413" s="2418" t="s">
        <v>66</v>
      </c>
      <c r="N413" s="2419"/>
      <c r="O413" s="58"/>
      <c r="P413" s="58"/>
      <c r="Q413" s="58"/>
    </row>
    <row r="414" spans="1:17">
      <c r="A414" s="58"/>
      <c r="B414" s="2429">
        <v>20</v>
      </c>
      <c r="C414" s="2424">
        <f>B414/100</f>
        <v>0.2</v>
      </c>
      <c r="D414" s="1068" t="s">
        <v>206</v>
      </c>
      <c r="E414" s="724">
        <v>1</v>
      </c>
      <c r="F414" s="1107">
        <f>(B414*E414)*10</f>
        <v>200</v>
      </c>
      <c r="G414" s="1109">
        <f>F414/1000</f>
        <v>0.2</v>
      </c>
      <c r="H414" s="70"/>
      <c r="I414" s="2422">
        <v>10</v>
      </c>
      <c r="J414" s="2424">
        <f>I414/10</f>
        <v>1</v>
      </c>
      <c r="K414" s="1068" t="s">
        <v>206</v>
      </c>
      <c r="L414" s="724">
        <v>1</v>
      </c>
      <c r="M414" s="1107">
        <f>(I414*L414)*100</f>
        <v>1000</v>
      </c>
      <c r="N414" s="1109">
        <f>M414/1000</f>
        <v>1</v>
      </c>
      <c r="O414" s="58"/>
      <c r="P414" s="58"/>
      <c r="Q414" s="58"/>
    </row>
    <row r="415" spans="1:17">
      <c r="A415" s="58"/>
      <c r="B415" s="2429"/>
      <c r="C415" s="2424"/>
      <c r="D415" s="1068" t="s">
        <v>727</v>
      </c>
      <c r="E415" s="724">
        <v>1.03</v>
      </c>
      <c r="F415" s="1107">
        <f>(B414*E415)*10</f>
        <v>206</v>
      </c>
      <c r="G415" s="1109">
        <f>F415/1000</f>
        <v>0.20599999999999999</v>
      </c>
      <c r="H415" s="70"/>
      <c r="I415" s="2422"/>
      <c r="J415" s="2424"/>
      <c r="K415" s="1068" t="s">
        <v>727</v>
      </c>
      <c r="L415" s="724">
        <v>1.03</v>
      </c>
      <c r="M415" s="1107">
        <f>(I414*L415)*100</f>
        <v>1030</v>
      </c>
      <c r="N415" s="1109">
        <f>M415/1000</f>
        <v>1.03</v>
      </c>
      <c r="O415" s="58"/>
      <c r="P415" s="58"/>
      <c r="Q415" s="58"/>
    </row>
    <row r="416" spans="1:17">
      <c r="A416" s="58"/>
      <c r="B416" s="2429"/>
      <c r="C416" s="2424"/>
      <c r="D416" s="1068" t="s">
        <v>728</v>
      </c>
      <c r="E416" s="724">
        <v>1.0149999999999999</v>
      </c>
      <c r="F416" s="1107">
        <f>(E416*B414)*10</f>
        <v>202.99999999999997</v>
      </c>
      <c r="G416" s="1109">
        <f>F416/1000</f>
        <v>0.20299999999999996</v>
      </c>
      <c r="H416" s="70"/>
      <c r="I416" s="2422"/>
      <c r="J416" s="2424"/>
      <c r="K416" s="1068" t="s">
        <v>728</v>
      </c>
      <c r="L416" s="724">
        <v>1.0149999999999999</v>
      </c>
      <c r="M416" s="1107">
        <f>(L416*I414)*100</f>
        <v>1014.9999999999999</v>
      </c>
      <c r="N416" s="1109">
        <f>M416/1000</f>
        <v>1.0149999999999999</v>
      </c>
      <c r="O416" s="58"/>
      <c r="P416" s="58"/>
      <c r="Q416" s="58"/>
    </row>
    <row r="417" spans="1:17">
      <c r="A417" s="58"/>
      <c r="B417" s="2429"/>
      <c r="C417" s="2424"/>
      <c r="D417" s="1068" t="s">
        <v>723</v>
      </c>
      <c r="E417" s="724">
        <v>0.92</v>
      </c>
      <c r="F417" s="1107">
        <f>(E417*B414)*10</f>
        <v>184.00000000000003</v>
      </c>
      <c r="G417" s="1109">
        <f>F417/1000</f>
        <v>0.18400000000000002</v>
      </c>
      <c r="H417" s="70"/>
      <c r="I417" s="2422"/>
      <c r="J417" s="2424"/>
      <c r="K417" s="1068" t="s">
        <v>723</v>
      </c>
      <c r="L417" s="724">
        <v>0.92</v>
      </c>
      <c r="M417" s="1107">
        <f>(L417*I414)*100</f>
        <v>920.00000000000011</v>
      </c>
      <c r="N417" s="1109">
        <f>M417/1000</f>
        <v>0.92000000000000015</v>
      </c>
      <c r="O417" s="58"/>
      <c r="P417" s="58"/>
      <c r="Q417" s="58"/>
    </row>
    <row r="418" spans="1:17" ht="15.75" thickBot="1">
      <c r="A418" s="58"/>
      <c r="B418" s="2430"/>
      <c r="C418" s="2425"/>
      <c r="D418" s="1069" t="s">
        <v>724</v>
      </c>
      <c r="E418" s="900">
        <v>0.8</v>
      </c>
      <c r="F418" s="1108">
        <f>(E418*B414)*10</f>
        <v>160</v>
      </c>
      <c r="G418" s="1110">
        <f>F418/1000</f>
        <v>0.16</v>
      </c>
      <c r="H418" s="70"/>
      <c r="I418" s="2423"/>
      <c r="J418" s="2425"/>
      <c r="K418" s="1069" t="s">
        <v>724</v>
      </c>
      <c r="L418" s="900">
        <v>0.8</v>
      </c>
      <c r="M418" s="1108">
        <f>(L418*I414)*100</f>
        <v>800</v>
      </c>
      <c r="N418" s="1110">
        <f>M418/1000</f>
        <v>0.8</v>
      </c>
      <c r="O418" s="58"/>
      <c r="P418" s="58"/>
      <c r="Q418" s="58"/>
    </row>
    <row r="419" spans="1:17">
      <c r="A419" s="58"/>
      <c r="B419" s="57"/>
      <c r="C419" s="70"/>
      <c r="D419" s="70"/>
      <c r="E419" s="70"/>
      <c r="F419" s="70"/>
      <c r="G419" s="70"/>
      <c r="H419" s="70"/>
      <c r="I419" s="70"/>
      <c r="J419" s="57"/>
      <c r="K419" s="57"/>
      <c r="L419" s="57"/>
      <c r="M419" s="58"/>
      <c r="N419" s="58"/>
      <c r="O419" s="58"/>
      <c r="P419" s="58"/>
      <c r="Q419" s="58"/>
    </row>
    <row r="420" spans="1:17">
      <c r="A420" s="58"/>
      <c r="B420" s="57"/>
      <c r="C420" s="70"/>
      <c r="D420" s="70"/>
      <c r="E420" s="70"/>
      <c r="F420" s="70"/>
      <c r="G420" s="70"/>
      <c r="H420" s="70"/>
      <c r="I420" s="70"/>
      <c r="J420" s="57"/>
      <c r="K420" s="57"/>
      <c r="L420" s="57"/>
      <c r="M420" s="58"/>
      <c r="N420" s="58"/>
      <c r="O420" s="58"/>
      <c r="P420" s="58"/>
      <c r="Q420" s="58"/>
    </row>
    <row r="421" spans="1:17">
      <c r="A421" s="58"/>
      <c r="B421" s="57"/>
      <c r="C421" s="70"/>
      <c r="D421" s="70"/>
      <c r="E421" s="70"/>
      <c r="F421" s="70"/>
      <c r="G421" s="70"/>
      <c r="H421" s="70"/>
      <c r="I421" s="70"/>
      <c r="J421" s="57"/>
      <c r="K421" s="57"/>
      <c r="L421" s="57"/>
      <c r="M421" s="58"/>
      <c r="N421" s="58"/>
      <c r="O421" s="58"/>
      <c r="P421" s="58"/>
      <c r="Q421" s="58"/>
    </row>
    <row r="422" spans="1:17" ht="15.75" thickBot="1">
      <c r="A422" s="58"/>
      <c r="B422" s="57"/>
      <c r="C422" s="70"/>
      <c r="D422" s="70"/>
      <c r="E422" s="70"/>
      <c r="F422" s="70"/>
      <c r="G422" s="70"/>
      <c r="H422" s="70"/>
      <c r="I422" s="70"/>
      <c r="J422" s="57"/>
      <c r="K422" s="57"/>
      <c r="L422" s="57"/>
      <c r="M422" s="58"/>
      <c r="N422" s="58"/>
      <c r="O422" s="58"/>
      <c r="P422" s="58"/>
      <c r="Q422" s="58"/>
    </row>
    <row r="423" spans="1:17">
      <c r="A423" s="58"/>
      <c r="B423" s="57"/>
      <c r="C423" s="70"/>
      <c r="D423" s="70"/>
      <c r="E423" s="70"/>
      <c r="F423" s="3008" t="s">
        <v>28</v>
      </c>
      <c r="G423" s="3009"/>
      <c r="H423" s="3009"/>
      <c r="I423" s="3010"/>
      <c r="J423" s="57"/>
      <c r="K423" s="3008" t="s">
        <v>28</v>
      </c>
      <c r="L423" s="3009"/>
      <c r="M423" s="3009"/>
      <c r="N423" s="3010"/>
      <c r="O423" s="58"/>
      <c r="P423" s="58"/>
    </row>
    <row r="424" spans="1:17" ht="15.75" thickBot="1">
      <c r="A424" s="58"/>
      <c r="B424" s="57"/>
      <c r="C424" s="57"/>
      <c r="D424" s="57"/>
      <c r="E424" s="57"/>
      <c r="F424" s="3011"/>
      <c r="G424" s="3012"/>
      <c r="H424" s="3012"/>
      <c r="I424" s="3013"/>
      <c r="J424" s="54"/>
      <c r="K424" s="3011"/>
      <c r="L424" s="3012"/>
      <c r="M424" s="3012"/>
      <c r="N424" s="3013"/>
      <c r="O424" s="58"/>
      <c r="P424" s="58"/>
    </row>
    <row r="425" spans="1:17" ht="19.5" customHeight="1" thickBot="1">
      <c r="A425" s="58"/>
      <c r="B425" s="57"/>
      <c r="C425" s="57"/>
      <c r="D425" s="57"/>
      <c r="E425" s="57"/>
      <c r="F425" s="1650" t="s">
        <v>45</v>
      </c>
      <c r="G425" s="1651" t="s">
        <v>43</v>
      </c>
      <c r="H425" s="1651" t="s">
        <v>42</v>
      </c>
      <c r="I425" s="1652" t="s">
        <v>41</v>
      </c>
      <c r="J425" s="54"/>
      <c r="K425" s="2983" t="s">
        <v>23</v>
      </c>
      <c r="L425" s="2984"/>
      <c r="M425" s="2984"/>
      <c r="N425" s="2985"/>
      <c r="O425" s="58"/>
      <c r="P425" s="58"/>
    </row>
    <row r="426" spans="1:17" ht="15.75" customHeight="1">
      <c r="A426" s="58"/>
      <c r="B426" s="57"/>
      <c r="C426" s="57"/>
      <c r="D426" s="57"/>
      <c r="E426" s="57"/>
      <c r="F426" s="3014" t="s">
        <v>163</v>
      </c>
      <c r="G426" s="3015"/>
      <c r="H426" s="3015"/>
      <c r="I426" s="3016"/>
      <c r="J426" s="54"/>
      <c r="K426" s="3017" t="s">
        <v>46</v>
      </c>
      <c r="L426" s="3018"/>
      <c r="M426" s="3018"/>
      <c r="N426" s="3019"/>
      <c r="O426" s="58"/>
      <c r="P426" s="58"/>
    </row>
    <row r="427" spans="1:17" ht="18.75" customHeight="1">
      <c r="A427" s="58"/>
      <c r="B427" s="57"/>
      <c r="C427" s="57"/>
      <c r="D427" s="57"/>
      <c r="E427" s="57"/>
      <c r="F427" s="1653" t="s">
        <v>36</v>
      </c>
      <c r="G427" s="2227" t="s">
        <v>35</v>
      </c>
      <c r="H427" s="2227" t="s">
        <v>34</v>
      </c>
      <c r="I427" s="1654" t="s">
        <v>33</v>
      </c>
      <c r="J427" s="54"/>
      <c r="K427" s="3020" t="s">
        <v>40</v>
      </c>
      <c r="L427" s="3022" t="s">
        <v>39</v>
      </c>
      <c r="M427" s="3022" t="s">
        <v>38</v>
      </c>
      <c r="N427" s="3024" t="s">
        <v>37</v>
      </c>
      <c r="O427" s="58"/>
      <c r="P427" s="58"/>
    </row>
    <row r="428" spans="1:17" ht="15.75" customHeight="1">
      <c r="A428" s="58"/>
      <c r="B428" s="57"/>
      <c r="C428" s="57"/>
      <c r="D428" s="57"/>
      <c r="E428" s="57"/>
      <c r="F428" s="2228">
        <v>1</v>
      </c>
      <c r="G428" s="2229">
        <f>F428*10</f>
        <v>10</v>
      </c>
      <c r="H428" s="2229">
        <f>G428*10</f>
        <v>100</v>
      </c>
      <c r="I428" s="1655">
        <f>H428*10</f>
        <v>1000</v>
      </c>
      <c r="J428" s="54"/>
      <c r="K428" s="3021"/>
      <c r="L428" s="3023"/>
      <c r="M428" s="3023"/>
      <c r="N428" s="3025"/>
      <c r="O428" s="58"/>
      <c r="P428" s="58"/>
    </row>
    <row r="429" spans="1:17" ht="15.75" customHeight="1">
      <c r="A429" s="58"/>
      <c r="B429" s="57"/>
      <c r="C429" s="57"/>
      <c r="D429" s="57"/>
      <c r="E429" s="57"/>
      <c r="F429" s="2230">
        <f>G429/10</f>
        <v>0.1</v>
      </c>
      <c r="G429" s="2231">
        <v>1</v>
      </c>
      <c r="H429" s="2229">
        <f>G429*10</f>
        <v>10</v>
      </c>
      <c r="I429" s="1655">
        <f>G429*100</f>
        <v>100</v>
      </c>
      <c r="J429" s="54"/>
      <c r="K429" s="12" t="s">
        <v>32</v>
      </c>
      <c r="L429" s="11" t="s">
        <v>31</v>
      </c>
      <c r="M429" s="11" t="s">
        <v>30</v>
      </c>
      <c r="N429" s="10" t="s">
        <v>29</v>
      </c>
      <c r="O429" s="58"/>
      <c r="P429" s="58"/>
    </row>
    <row r="430" spans="1:17" ht="15.75" customHeight="1">
      <c r="A430" s="58"/>
      <c r="B430" s="57"/>
      <c r="C430" s="57"/>
      <c r="D430" s="57"/>
      <c r="E430" s="57"/>
      <c r="F430" s="2230">
        <f t="shared" ref="F430:G430" si="1">G430/10</f>
        <v>0.01</v>
      </c>
      <c r="G430" s="2229">
        <f t="shared" si="1"/>
        <v>0.1</v>
      </c>
      <c r="H430" s="2231">
        <v>1</v>
      </c>
      <c r="I430" s="1655">
        <f>G430*100</f>
        <v>10</v>
      </c>
      <c r="J430" s="54"/>
      <c r="K430" s="12" t="s">
        <v>27</v>
      </c>
      <c r="L430" s="11" t="s">
        <v>26</v>
      </c>
      <c r="M430" s="11" t="s">
        <v>25</v>
      </c>
      <c r="N430" s="10" t="s">
        <v>24</v>
      </c>
      <c r="O430" s="58"/>
      <c r="P430" s="58"/>
    </row>
    <row r="431" spans="1:17" ht="15.75" customHeight="1">
      <c r="A431" s="58"/>
      <c r="B431" s="57"/>
      <c r="C431" s="57"/>
      <c r="D431" s="57"/>
      <c r="E431" s="57"/>
      <c r="F431" s="1656">
        <f>I431/1000</f>
        <v>1E-3</v>
      </c>
      <c r="G431" s="1657">
        <f>I431/100</f>
        <v>0.01</v>
      </c>
      <c r="H431" s="1657">
        <f>I431/10</f>
        <v>0.1</v>
      </c>
      <c r="I431" s="1658">
        <v>1</v>
      </c>
      <c r="J431" s="54"/>
      <c r="K431" s="12" t="s">
        <v>20</v>
      </c>
      <c r="L431" s="11" t="s">
        <v>19</v>
      </c>
      <c r="M431" s="11" t="s">
        <v>18</v>
      </c>
      <c r="N431" s="10" t="s">
        <v>17</v>
      </c>
      <c r="O431" s="58"/>
      <c r="P431" s="58"/>
    </row>
    <row r="432" spans="1:17" ht="15" customHeight="1">
      <c r="A432" s="58"/>
      <c r="B432" s="57"/>
      <c r="C432" s="57"/>
      <c r="D432" s="57"/>
      <c r="E432" s="57"/>
      <c r="F432" s="2983" t="s">
        <v>23</v>
      </c>
      <c r="G432" s="2984"/>
      <c r="H432" s="2984"/>
      <c r="I432" s="2985"/>
      <c r="J432" s="54"/>
      <c r="K432" s="1659" t="s">
        <v>13</v>
      </c>
      <c r="L432" s="1660" t="s">
        <v>12</v>
      </c>
      <c r="M432" s="1660" t="s">
        <v>11</v>
      </c>
      <c r="N432" s="1661" t="s">
        <v>10</v>
      </c>
      <c r="O432" s="58"/>
      <c r="P432" s="58"/>
    </row>
    <row r="433" spans="1:17" ht="16.5" thickBot="1">
      <c r="A433" s="58"/>
      <c r="B433" s="57"/>
      <c r="C433" s="57"/>
      <c r="D433" s="57"/>
      <c r="E433" s="57"/>
      <c r="F433" s="2986" t="s">
        <v>9</v>
      </c>
      <c r="G433" s="2987"/>
      <c r="H433" s="2987"/>
      <c r="I433" s="2988"/>
      <c r="J433" s="54"/>
      <c r="K433" s="2986" t="s">
        <v>9</v>
      </c>
      <c r="L433" s="2987"/>
      <c r="M433" s="2987"/>
      <c r="N433" s="2988"/>
      <c r="O433" s="58"/>
      <c r="P433" s="58"/>
    </row>
    <row r="434" spans="1:17">
      <c r="A434" s="58"/>
      <c r="B434" s="57"/>
      <c r="C434" s="57"/>
      <c r="D434" s="57"/>
      <c r="F434" s="58"/>
      <c r="G434" s="58"/>
      <c r="H434" s="58"/>
      <c r="I434" s="58"/>
      <c r="J434" s="58"/>
      <c r="K434" s="58"/>
      <c r="L434" s="58"/>
      <c r="M434" s="58"/>
      <c r="N434" s="58"/>
      <c r="O434" s="58"/>
      <c r="P434" s="58"/>
    </row>
    <row r="435" spans="1:17">
      <c r="A435" s="58"/>
      <c r="B435" s="57"/>
      <c r="C435" s="57"/>
      <c r="D435" s="57"/>
      <c r="E435" s="54"/>
      <c r="F435" s="58"/>
      <c r="G435" s="58"/>
      <c r="H435" s="58"/>
      <c r="I435" s="58"/>
      <c r="J435" s="58"/>
      <c r="K435" s="58"/>
      <c r="L435" s="58"/>
      <c r="M435" s="58"/>
      <c r="N435" s="58"/>
      <c r="O435" s="58"/>
      <c r="P435" s="58"/>
    </row>
    <row r="436" spans="1:17" ht="21" customHeight="1">
      <c r="A436" s="58"/>
      <c r="B436" s="1641" t="s">
        <v>1778</v>
      </c>
      <c r="C436" s="1028" t="s">
        <v>152</v>
      </c>
      <c r="D436" s="57"/>
      <c r="E436" s="54"/>
      <c r="F436" s="58"/>
      <c r="G436" s="58"/>
      <c r="H436" s="58"/>
      <c r="I436" s="58"/>
      <c r="J436" s="58"/>
      <c r="K436" s="2989" t="s">
        <v>1787</v>
      </c>
      <c r="L436" s="2990"/>
      <c r="M436" s="2991"/>
      <c r="N436" s="58"/>
      <c r="O436" s="58"/>
      <c r="P436" s="58"/>
    </row>
    <row r="437" spans="1:17" ht="21">
      <c r="A437" s="58"/>
      <c r="B437" s="1029"/>
      <c r="C437" s="1030"/>
      <c r="D437" s="57"/>
      <c r="E437" s="54"/>
      <c r="F437" s="58"/>
      <c r="G437" s="58"/>
      <c r="H437" s="58"/>
      <c r="I437" s="58"/>
      <c r="J437" s="58"/>
      <c r="K437" s="1662" t="s">
        <v>1788</v>
      </c>
      <c r="L437" s="1663" t="s">
        <v>1789</v>
      </c>
      <c r="M437" s="1664" t="s">
        <v>1790</v>
      </c>
      <c r="N437" s="58"/>
      <c r="O437" s="58"/>
      <c r="P437" s="58"/>
      <c r="Q437" s="58"/>
    </row>
    <row r="438" spans="1:17" ht="21">
      <c r="A438" s="58"/>
      <c r="B438" s="1029" t="s">
        <v>154</v>
      </c>
      <c r="C438" s="1665"/>
      <c r="D438" s="57"/>
      <c r="E438" s="54"/>
      <c r="F438" s="58"/>
      <c r="G438" s="58"/>
      <c r="H438" s="58"/>
      <c r="I438" s="58"/>
      <c r="J438" s="58"/>
      <c r="K438" s="1666">
        <v>4.1666666666666664E-2</v>
      </c>
      <c r="L438" s="1667">
        <v>60</v>
      </c>
      <c r="M438" s="2232">
        <v>100</v>
      </c>
      <c r="N438" s="58"/>
      <c r="O438" s="58"/>
      <c r="P438" s="58"/>
      <c r="Q438" s="58"/>
    </row>
    <row r="439" spans="1:17" ht="21">
      <c r="A439" s="58"/>
      <c r="B439" s="1029" t="s">
        <v>155</v>
      </c>
      <c r="C439" s="1665"/>
      <c r="D439" s="57"/>
      <c r="E439" s="54"/>
      <c r="F439" s="58"/>
      <c r="G439" s="58"/>
      <c r="H439" s="58"/>
      <c r="I439" s="58"/>
      <c r="J439" s="58"/>
      <c r="K439" s="1668">
        <v>4.1666666666666664E-2</v>
      </c>
      <c r="L439" s="1669">
        <f>(L438/K438)*K439</f>
        <v>60</v>
      </c>
      <c r="M439" s="2233">
        <f>(M438/K438)*K439</f>
        <v>100</v>
      </c>
      <c r="N439" s="58"/>
      <c r="O439" s="58"/>
      <c r="P439" s="58"/>
      <c r="Q439" s="58"/>
    </row>
    <row r="440" spans="1:17" ht="21">
      <c r="A440" s="58"/>
      <c r="B440" s="1641" t="s">
        <v>1778</v>
      </c>
      <c r="C440" s="1028" t="s">
        <v>156</v>
      </c>
      <c r="D440" s="57"/>
      <c r="F440" s="58"/>
      <c r="G440" s="58"/>
      <c r="H440" s="58"/>
      <c r="I440" s="58"/>
      <c r="J440" s="58"/>
      <c r="K440" s="1670">
        <f>(K438/L438)*L440</f>
        <v>6.2499999999999993E-2</v>
      </c>
      <c r="L440" s="1671">
        <v>90</v>
      </c>
      <c r="M440" s="2234">
        <f>(M438/L438)*L440</f>
        <v>150</v>
      </c>
      <c r="N440" s="58"/>
      <c r="O440" s="58"/>
      <c r="P440" s="58"/>
      <c r="Q440" s="58"/>
    </row>
    <row r="441" spans="1:17" ht="15.75">
      <c r="A441" s="58"/>
      <c r="B441" s="57"/>
      <c r="C441" s="57"/>
      <c r="D441" s="57"/>
      <c r="F441" s="58"/>
      <c r="G441" s="58"/>
      <c r="H441" s="58"/>
      <c r="I441" s="58"/>
      <c r="J441" s="58"/>
      <c r="K441" s="2235">
        <f>(K438/M438)*M441</f>
        <v>1.6666666666666666E-2</v>
      </c>
      <c r="L441" s="2236">
        <f>(L438/M438)*M441</f>
        <v>24</v>
      </c>
      <c r="M441" s="2237">
        <v>40</v>
      </c>
      <c r="N441" s="58"/>
      <c r="O441" s="58"/>
      <c r="P441" s="58"/>
      <c r="Q441" s="58"/>
    </row>
    <row r="442" spans="1:17">
      <c r="A442" s="58"/>
      <c r="B442" s="57"/>
      <c r="C442" s="57"/>
      <c r="D442" s="57"/>
      <c r="E442" s="57"/>
      <c r="F442" s="57"/>
      <c r="G442" s="57"/>
      <c r="H442" s="58"/>
      <c r="I442" s="58"/>
      <c r="J442" s="58"/>
      <c r="K442" s="58"/>
      <c r="L442" s="58"/>
      <c r="M442" s="58"/>
      <c r="N442" s="58"/>
      <c r="O442" s="58"/>
      <c r="P442" s="58"/>
      <c r="Q442" s="58"/>
    </row>
    <row r="443" spans="1:17">
      <c r="A443" s="1647"/>
      <c r="B443" s="1648"/>
      <c r="C443" s="1649"/>
      <c r="D443" s="1649"/>
      <c r="E443" s="1649"/>
      <c r="F443" s="1649"/>
      <c r="G443" s="1649"/>
      <c r="H443" s="1649"/>
      <c r="I443" s="1649"/>
      <c r="J443" s="1648"/>
      <c r="K443" s="1648"/>
      <c r="L443" s="1648"/>
      <c r="M443" s="1647"/>
      <c r="N443" s="1647"/>
      <c r="O443" s="1647"/>
      <c r="P443" s="1647"/>
      <c r="Q443" s="1647"/>
    </row>
    <row r="444" spans="1:17" ht="15.75" thickBot="1">
      <c r="A444" s="58"/>
      <c r="B444" s="57"/>
      <c r="C444" s="57"/>
      <c r="D444" s="57"/>
      <c r="E444" s="57"/>
      <c r="F444" s="57"/>
      <c r="G444" s="57"/>
      <c r="H444" s="58"/>
      <c r="I444" s="58"/>
      <c r="J444" s="58"/>
      <c r="K444" s="58"/>
      <c r="L444" s="58"/>
      <c r="M444" s="58"/>
      <c r="N444" s="58"/>
      <c r="O444" s="58"/>
      <c r="P444" s="58"/>
      <c r="Q444" s="58"/>
    </row>
    <row r="445" spans="1:17">
      <c r="A445" s="58"/>
      <c r="B445" s="2992" t="s">
        <v>162</v>
      </c>
      <c r="C445" s="2993"/>
      <c r="D445" s="2993"/>
      <c r="E445" s="2993"/>
      <c r="F445" s="2993"/>
      <c r="G445" s="2994"/>
      <c r="H445" s="58"/>
      <c r="I445" s="2998" t="s">
        <v>173</v>
      </c>
      <c r="J445" s="2999"/>
      <c r="K445" s="3002" t="s">
        <v>174</v>
      </c>
      <c r="L445" s="3002"/>
      <c r="M445" s="3004" t="s">
        <v>175</v>
      </c>
      <c r="N445" s="3006" t="s">
        <v>176</v>
      </c>
      <c r="O445" s="58"/>
      <c r="P445" s="58"/>
      <c r="Q445" s="58"/>
    </row>
    <row r="446" spans="1:17">
      <c r="A446" s="58"/>
      <c r="B446" s="2995"/>
      <c r="C446" s="2996"/>
      <c r="D446" s="2996"/>
      <c r="E446" s="2996"/>
      <c r="F446" s="2996"/>
      <c r="G446" s="2997"/>
      <c r="H446" s="58"/>
      <c r="I446" s="3000"/>
      <c r="J446" s="3001"/>
      <c r="K446" s="3003"/>
      <c r="L446" s="3003"/>
      <c r="M446" s="3005"/>
      <c r="N446" s="3007"/>
      <c r="O446" s="58"/>
      <c r="P446" s="58"/>
      <c r="Q446" s="58"/>
    </row>
    <row r="447" spans="1:17" ht="15.75" customHeight="1">
      <c r="A447" s="58"/>
      <c r="B447" s="2976" t="s">
        <v>164</v>
      </c>
      <c r="C447" s="2977"/>
      <c r="D447" s="2977"/>
      <c r="E447" s="2977"/>
      <c r="F447" s="2977"/>
      <c r="G447" s="2978"/>
      <c r="H447" s="58"/>
      <c r="I447" s="2979" t="s">
        <v>180</v>
      </c>
      <c r="J447" s="2980"/>
      <c r="K447" s="78" t="s">
        <v>181</v>
      </c>
      <c r="L447" s="78"/>
      <c r="M447" s="79"/>
      <c r="N447" s="80"/>
      <c r="O447" s="58"/>
      <c r="P447" s="58"/>
      <c r="Q447" s="58"/>
    </row>
    <row r="448" spans="1:17" ht="15.75" customHeight="1">
      <c r="A448" s="58"/>
      <c r="B448" s="2976"/>
      <c r="C448" s="2977"/>
      <c r="D448" s="2977"/>
      <c r="E448" s="2977"/>
      <c r="F448" s="2977"/>
      <c r="G448" s="2978"/>
      <c r="H448" s="58"/>
      <c r="I448" s="2981" t="s">
        <v>184</v>
      </c>
      <c r="J448" s="2982"/>
      <c r="K448" s="81" t="s">
        <v>185</v>
      </c>
      <c r="L448" s="81"/>
      <c r="M448" s="2047" t="s">
        <v>186</v>
      </c>
      <c r="N448" s="82" t="s">
        <v>187</v>
      </c>
      <c r="O448" s="58"/>
      <c r="P448" s="58"/>
      <c r="Q448" s="58"/>
    </row>
    <row r="449" spans="1:17" ht="16.5" customHeight="1">
      <c r="A449" s="58"/>
      <c r="B449" s="2048" t="s">
        <v>165</v>
      </c>
      <c r="C449" s="2972" t="s">
        <v>166</v>
      </c>
      <c r="D449" s="2972"/>
      <c r="E449" s="2972"/>
      <c r="F449" s="2972"/>
      <c r="G449" s="2973"/>
      <c r="H449" s="58"/>
      <c r="I449" s="2981" t="s">
        <v>188</v>
      </c>
      <c r="J449" s="2982"/>
      <c r="K449" s="81" t="s">
        <v>189</v>
      </c>
      <c r="L449" s="81"/>
      <c r="M449" s="2047" t="s">
        <v>190</v>
      </c>
      <c r="N449" s="82" t="s">
        <v>191</v>
      </c>
      <c r="O449" s="58"/>
      <c r="P449" s="58"/>
      <c r="Q449" s="58"/>
    </row>
    <row r="450" spans="1:17">
      <c r="A450" s="58"/>
      <c r="B450" s="2048" t="s">
        <v>165</v>
      </c>
      <c r="C450" s="2972" t="s">
        <v>167</v>
      </c>
      <c r="D450" s="2972"/>
      <c r="E450" s="2972"/>
      <c r="F450" s="2972"/>
      <c r="G450" s="2973"/>
      <c r="H450" s="58"/>
      <c r="I450" s="2981" t="s">
        <v>194</v>
      </c>
      <c r="J450" s="2982"/>
      <c r="K450" s="81" t="s">
        <v>195</v>
      </c>
      <c r="L450" s="81"/>
      <c r="M450" s="2047" t="s">
        <v>196</v>
      </c>
      <c r="N450" s="82" t="s">
        <v>197</v>
      </c>
      <c r="O450" s="58"/>
      <c r="P450" s="58"/>
      <c r="Q450" s="58"/>
    </row>
    <row r="451" spans="1:17" ht="15.75" customHeight="1" thickBot="1">
      <c r="A451" s="58"/>
      <c r="B451" s="2048" t="s">
        <v>165</v>
      </c>
      <c r="C451" s="2972" t="s">
        <v>168</v>
      </c>
      <c r="D451" s="2972"/>
      <c r="E451" s="2972"/>
      <c r="F451" s="2972"/>
      <c r="G451" s="2973"/>
      <c r="H451" s="58"/>
      <c r="I451" s="2974" t="s">
        <v>198</v>
      </c>
      <c r="J451" s="2975"/>
      <c r="K451" s="83" t="s">
        <v>199</v>
      </c>
      <c r="L451" s="83"/>
      <c r="M451" s="2050" t="s">
        <v>200</v>
      </c>
      <c r="N451" s="1672" t="s">
        <v>201</v>
      </c>
      <c r="O451" s="58"/>
      <c r="P451" s="58"/>
      <c r="Q451" s="58"/>
    </row>
    <row r="452" spans="1:17" ht="15.75" customHeight="1">
      <c r="A452" s="58"/>
      <c r="B452" s="2048" t="s">
        <v>169</v>
      </c>
      <c r="C452" s="2972" t="s">
        <v>170</v>
      </c>
      <c r="D452" s="2972"/>
      <c r="E452" s="2972"/>
      <c r="F452" s="2972"/>
      <c r="G452" s="2973"/>
      <c r="H452" s="58"/>
      <c r="I452" s="58"/>
      <c r="J452" s="58"/>
      <c r="K452" s="58"/>
      <c r="L452" s="58"/>
      <c r="M452" s="58"/>
      <c r="N452" s="58"/>
      <c r="O452" s="58"/>
      <c r="P452" s="58"/>
      <c r="Q452" s="58"/>
    </row>
    <row r="453" spans="1:17" ht="15" customHeight="1">
      <c r="A453" s="58"/>
      <c r="B453" s="2048" t="s">
        <v>171</v>
      </c>
      <c r="C453" s="2972" t="s">
        <v>172</v>
      </c>
      <c r="D453" s="2972"/>
      <c r="E453" s="2972"/>
      <c r="F453" s="2972"/>
      <c r="G453" s="2973"/>
      <c r="H453" s="57"/>
      <c r="I453" s="54"/>
      <c r="J453" s="54"/>
      <c r="K453" s="54"/>
      <c r="L453" s="54"/>
      <c r="M453" s="54"/>
      <c r="N453" s="54"/>
      <c r="O453" s="58"/>
      <c r="P453" s="58"/>
      <c r="Q453" s="58"/>
    </row>
    <row r="454" spans="1:17">
      <c r="A454" s="58"/>
      <c r="B454" s="2048" t="s">
        <v>177</v>
      </c>
      <c r="C454" s="2972" t="s">
        <v>178</v>
      </c>
      <c r="D454" s="2972"/>
      <c r="E454" s="2972"/>
      <c r="F454" s="2972"/>
      <c r="G454" s="2973"/>
      <c r="H454" s="57"/>
      <c r="I454" s="54"/>
      <c r="J454" s="54"/>
      <c r="K454" s="54"/>
      <c r="L454" s="54"/>
      <c r="M454" s="54"/>
      <c r="N454" s="54"/>
      <c r="O454" s="58"/>
      <c r="P454" s="58"/>
      <c r="Q454" s="58"/>
    </row>
    <row r="455" spans="1:17">
      <c r="A455" s="58"/>
      <c r="B455" s="2048" t="s">
        <v>177</v>
      </c>
      <c r="C455" s="2972" t="s">
        <v>179</v>
      </c>
      <c r="D455" s="2972"/>
      <c r="E455" s="2972"/>
      <c r="F455" s="2972"/>
      <c r="G455" s="2973"/>
      <c r="H455" s="57"/>
      <c r="I455" s="54"/>
      <c r="J455" s="54"/>
      <c r="K455" s="54"/>
      <c r="L455" s="54"/>
      <c r="M455" s="54"/>
      <c r="N455" s="54"/>
      <c r="O455" s="58"/>
      <c r="P455" s="58"/>
      <c r="Q455" s="58"/>
    </row>
    <row r="456" spans="1:17">
      <c r="A456" s="58"/>
      <c r="B456" s="2958" t="s">
        <v>182</v>
      </c>
      <c r="C456" s="2959" t="s">
        <v>183</v>
      </c>
      <c r="D456" s="2959"/>
      <c r="E456" s="2959"/>
      <c r="F456" s="2959"/>
      <c r="G456" s="2960"/>
      <c r="H456" s="57"/>
      <c r="I456" s="54"/>
      <c r="J456" s="54"/>
      <c r="K456" s="54"/>
      <c r="L456" s="54"/>
      <c r="M456" s="54"/>
      <c r="N456" s="54"/>
      <c r="O456" s="58"/>
      <c r="P456" s="58"/>
      <c r="Q456" s="58"/>
    </row>
    <row r="457" spans="1:17">
      <c r="A457" s="58"/>
      <c r="B457" s="2958"/>
      <c r="C457" s="2959"/>
      <c r="D457" s="2959"/>
      <c r="E457" s="2959"/>
      <c r="F457" s="2959"/>
      <c r="G457" s="2960"/>
      <c r="H457" s="57"/>
      <c r="I457" s="54"/>
      <c r="J457" s="54"/>
      <c r="K457" s="54"/>
      <c r="L457" s="54"/>
      <c r="M457" s="54"/>
      <c r="N457" s="54"/>
      <c r="O457" s="58"/>
      <c r="P457" s="58"/>
      <c r="Q457" s="58"/>
    </row>
    <row r="458" spans="1:17">
      <c r="A458" s="58"/>
      <c r="B458" s="2958" t="s">
        <v>192</v>
      </c>
      <c r="C458" s="2959" t="s">
        <v>193</v>
      </c>
      <c r="D458" s="2959"/>
      <c r="E458" s="2959"/>
      <c r="F458" s="2959"/>
      <c r="G458" s="2960"/>
      <c r="H458" s="57"/>
      <c r="I458" s="54"/>
      <c r="J458" s="54"/>
      <c r="K458" s="54"/>
      <c r="L458" s="54"/>
      <c r="M458" s="54"/>
      <c r="N458" s="54"/>
      <c r="O458" s="58"/>
      <c r="P458" s="58"/>
      <c r="Q458" s="58"/>
    </row>
    <row r="459" spans="1:17">
      <c r="A459" s="58"/>
      <c r="B459" s="2961"/>
      <c r="C459" s="2962"/>
      <c r="D459" s="2962"/>
      <c r="E459" s="2962"/>
      <c r="F459" s="2962"/>
      <c r="G459" s="2963"/>
      <c r="H459" s="57"/>
      <c r="I459" s="54"/>
      <c r="J459" s="54"/>
      <c r="K459" s="54"/>
      <c r="L459" s="54"/>
      <c r="M459" s="54"/>
      <c r="N459" s="54"/>
      <c r="O459" s="58"/>
      <c r="P459" s="58"/>
      <c r="Q459" s="58"/>
    </row>
    <row r="460" spans="1:17" ht="15.75" thickBot="1">
      <c r="A460" s="58"/>
      <c r="B460" s="2049"/>
      <c r="C460" s="2049"/>
      <c r="D460" s="2049"/>
      <c r="E460" s="2049"/>
      <c r="F460" s="2049"/>
      <c r="G460" s="2049"/>
      <c r="H460" s="57"/>
      <c r="I460" s="2047"/>
      <c r="J460" s="2047"/>
      <c r="K460" s="81"/>
      <c r="L460" s="81"/>
      <c r="M460" s="2047"/>
      <c r="N460" s="2047"/>
      <c r="O460" s="58"/>
      <c r="P460" s="58"/>
      <c r="Q460" s="58"/>
    </row>
    <row r="461" spans="1:17" ht="15.75">
      <c r="A461" s="75"/>
      <c r="B461" s="1673" t="s">
        <v>1791</v>
      </c>
      <c r="C461" s="84"/>
      <c r="D461" s="84"/>
      <c r="E461" s="85"/>
      <c r="F461" s="58"/>
      <c r="G461" s="58"/>
      <c r="H461" s="1674" t="s">
        <v>202</v>
      </c>
      <c r="I461" s="86"/>
      <c r="J461" s="87"/>
      <c r="K461" s="87"/>
      <c r="L461" s="87"/>
      <c r="M461" s="87"/>
      <c r="N461" s="88"/>
      <c r="O461" s="58"/>
      <c r="P461" s="58"/>
      <c r="Q461" s="58"/>
    </row>
    <row r="462" spans="1:17" ht="25.5">
      <c r="A462" s="75"/>
      <c r="B462" s="2964" t="s">
        <v>203</v>
      </c>
      <c r="C462" s="2965"/>
      <c r="D462" s="2968" t="s">
        <v>204</v>
      </c>
      <c r="E462" s="2970">
        <f>(B464*B467)+(C464*C467)+(D464*D467)+(E464*E467)</f>
        <v>228.85000000000002</v>
      </c>
      <c r="F462" s="58"/>
      <c r="G462" s="58"/>
      <c r="H462" s="89" t="s">
        <v>205</v>
      </c>
      <c r="I462" s="90" t="s">
        <v>206</v>
      </c>
      <c r="J462" s="90" t="s">
        <v>207</v>
      </c>
      <c r="K462" s="90" t="s">
        <v>208</v>
      </c>
      <c r="L462" s="90" t="s">
        <v>209</v>
      </c>
      <c r="M462" s="90" t="s">
        <v>210</v>
      </c>
      <c r="N462" s="91" t="s">
        <v>211</v>
      </c>
      <c r="O462" s="58"/>
      <c r="P462" s="58"/>
      <c r="Q462" s="58"/>
    </row>
    <row r="463" spans="1:17">
      <c r="A463" s="75"/>
      <c r="B463" s="2966"/>
      <c r="C463" s="2967"/>
      <c r="D463" s="2969"/>
      <c r="E463" s="2971"/>
      <c r="F463" s="58"/>
      <c r="G463" s="58"/>
      <c r="H463" s="2956">
        <v>0.12</v>
      </c>
      <c r="I463" s="2957">
        <v>1</v>
      </c>
      <c r="J463" s="2957">
        <v>0.11</v>
      </c>
      <c r="K463" s="2957">
        <v>0</v>
      </c>
      <c r="L463" s="2957">
        <v>0.01</v>
      </c>
      <c r="M463" s="2957">
        <v>5.0000000000000001E-3</v>
      </c>
      <c r="N463" s="2948">
        <f>SUM(H463:M463)</f>
        <v>1.2450000000000001</v>
      </c>
      <c r="O463" s="58"/>
      <c r="P463" s="58"/>
      <c r="Q463" s="58"/>
    </row>
    <row r="464" spans="1:17">
      <c r="A464" s="75"/>
      <c r="B464" s="2949">
        <v>6.5000000000000002E-2</v>
      </c>
      <c r="C464" s="2951">
        <v>7.4999999999999997E-2</v>
      </c>
      <c r="D464" s="2951">
        <v>0.12</v>
      </c>
      <c r="E464" s="2953">
        <v>0.15</v>
      </c>
      <c r="F464" s="58"/>
      <c r="G464" s="58"/>
      <c r="H464" s="2956"/>
      <c r="I464" s="2957"/>
      <c r="J464" s="2957"/>
      <c r="K464" s="2957"/>
      <c r="L464" s="2957"/>
      <c r="M464" s="2957"/>
      <c r="N464" s="2948"/>
      <c r="O464" s="58"/>
      <c r="P464" s="58"/>
      <c r="Q464" s="58"/>
    </row>
    <row r="465" spans="1:17">
      <c r="A465" s="75"/>
      <c r="B465" s="2950"/>
      <c r="C465" s="2952"/>
      <c r="D465" s="2952"/>
      <c r="E465" s="2954"/>
      <c r="F465" s="58"/>
      <c r="G465" s="58"/>
      <c r="H465" s="2955">
        <f>(H463/N463)*N465</f>
        <v>2.1204819277108431</v>
      </c>
      <c r="I465" s="2936">
        <f>(I463/N463)*N465</f>
        <v>17.670682730923691</v>
      </c>
      <c r="J465" s="2936">
        <f>(J463/N463)*N465</f>
        <v>1.9437751004016062</v>
      </c>
      <c r="K465" s="2936">
        <f>(K463/N463)*N465</f>
        <v>0</v>
      </c>
      <c r="L465" s="2936">
        <f>(L463/N463)*N465</f>
        <v>0.17670682730923692</v>
      </c>
      <c r="M465" s="2936">
        <f>(M463/N463)*N465</f>
        <v>8.8353413654618462E-2</v>
      </c>
      <c r="N465" s="2937">
        <v>22</v>
      </c>
      <c r="O465" s="58"/>
      <c r="P465" s="58"/>
      <c r="Q465" s="58"/>
    </row>
    <row r="466" spans="1:17">
      <c r="A466" s="75"/>
      <c r="B466" s="92" t="s">
        <v>212</v>
      </c>
      <c r="C466" s="93" t="s">
        <v>213</v>
      </c>
      <c r="D466" s="93" t="s">
        <v>214</v>
      </c>
      <c r="E466" s="94" t="s">
        <v>215</v>
      </c>
      <c r="F466" s="58"/>
      <c r="G466" s="58"/>
      <c r="H466" s="2955"/>
      <c r="I466" s="2936"/>
      <c r="J466" s="2936"/>
      <c r="K466" s="2936"/>
      <c r="L466" s="2936"/>
      <c r="M466" s="2936"/>
      <c r="N466" s="2937"/>
      <c r="O466" s="58"/>
      <c r="P466" s="58"/>
      <c r="Q466" s="58"/>
    </row>
    <row r="467" spans="1:17">
      <c r="A467" s="75"/>
      <c r="B467" s="2938">
        <v>920</v>
      </c>
      <c r="C467" s="2940">
        <v>1700</v>
      </c>
      <c r="D467" s="2940">
        <v>240</v>
      </c>
      <c r="E467" s="2942">
        <v>85</v>
      </c>
      <c r="F467" s="58"/>
      <c r="G467" s="58"/>
      <c r="H467" s="2944" t="s">
        <v>216</v>
      </c>
      <c r="I467" s="2945"/>
      <c r="J467" s="2945"/>
      <c r="K467" s="2945"/>
      <c r="L467" s="2945"/>
      <c r="M467" s="2945"/>
      <c r="N467" s="2946"/>
      <c r="O467" s="58"/>
      <c r="P467" s="58"/>
      <c r="Q467" s="58"/>
    </row>
    <row r="468" spans="1:17">
      <c r="A468" s="75"/>
      <c r="B468" s="2939"/>
      <c r="C468" s="2941"/>
      <c r="D468" s="2941"/>
      <c r="E468" s="2943"/>
      <c r="F468" s="58"/>
      <c r="G468" s="58"/>
      <c r="H468" s="2947">
        <f t="shared" ref="H468:M468" si="2">ROUNDUP(H465,2)</f>
        <v>2.13</v>
      </c>
      <c r="I468" s="2923">
        <f t="shared" si="2"/>
        <v>17.680000000000003</v>
      </c>
      <c r="J468" s="2923">
        <f t="shared" si="2"/>
        <v>1.95</v>
      </c>
      <c r="K468" s="2923">
        <f t="shared" si="2"/>
        <v>0</v>
      </c>
      <c r="L468" s="2923">
        <f t="shared" si="2"/>
        <v>0.18000000000000002</v>
      </c>
      <c r="M468" s="2923">
        <f t="shared" si="2"/>
        <v>0.09</v>
      </c>
      <c r="N468" s="2924">
        <f>SUM(H468:M468)</f>
        <v>22.03</v>
      </c>
      <c r="O468" s="58"/>
      <c r="P468" s="58"/>
      <c r="Q468" s="58"/>
    </row>
    <row r="469" spans="1:17">
      <c r="A469" s="75"/>
      <c r="B469" s="2925" t="s">
        <v>217</v>
      </c>
      <c r="C469" s="2927">
        <f>SUM(B467:E467)</f>
        <v>2945</v>
      </c>
      <c r="D469" s="2929" t="s">
        <v>218</v>
      </c>
      <c r="E469" s="2931">
        <f>IF(E462=0,0,E462/D464)</f>
        <v>1907.0833333333335</v>
      </c>
      <c r="F469" s="58"/>
      <c r="G469" s="58"/>
      <c r="H469" s="2947"/>
      <c r="I469" s="2923"/>
      <c r="J469" s="2923"/>
      <c r="K469" s="2923"/>
      <c r="L469" s="2923"/>
      <c r="M469" s="2923"/>
      <c r="N469" s="2924"/>
      <c r="O469" s="58"/>
      <c r="P469" s="58"/>
      <c r="Q469" s="58"/>
    </row>
    <row r="470" spans="1:17" ht="15.75" thickBot="1">
      <c r="A470" s="75"/>
      <c r="B470" s="2926"/>
      <c r="C470" s="2928"/>
      <c r="D470" s="2930"/>
      <c r="E470" s="2932"/>
      <c r="F470" s="58"/>
      <c r="G470" s="58"/>
      <c r="H470" s="2933" t="s">
        <v>219</v>
      </c>
      <c r="I470" s="2934"/>
      <c r="J470" s="2934"/>
      <c r="K470" s="2934"/>
      <c r="L470" s="2934"/>
      <c r="M470" s="2934"/>
      <c r="N470" s="2935"/>
      <c r="O470" s="58"/>
      <c r="P470" s="58"/>
      <c r="Q470" s="58"/>
    </row>
    <row r="471" spans="1:17" ht="15.75" thickBot="1">
      <c r="A471" s="75"/>
      <c r="B471" s="2908" t="s">
        <v>219</v>
      </c>
      <c r="C471" s="2909"/>
      <c r="D471" s="2909"/>
      <c r="E471" s="2910"/>
      <c r="F471" s="58"/>
      <c r="G471" s="58"/>
      <c r="H471" s="58"/>
      <c r="I471" s="57"/>
      <c r="J471" s="57"/>
      <c r="K471" s="57"/>
      <c r="L471" s="57"/>
      <c r="M471" s="58"/>
      <c r="N471" s="58"/>
      <c r="O471" s="58"/>
      <c r="P471" s="58"/>
      <c r="Q471" s="58"/>
    </row>
    <row r="472" spans="1:17" ht="15.75" thickBot="1">
      <c r="A472" s="58"/>
      <c r="B472" s="2049"/>
      <c r="C472" s="2049"/>
      <c r="D472" s="2049"/>
      <c r="E472" s="2049"/>
      <c r="F472" s="2049"/>
      <c r="G472" s="2049"/>
      <c r="H472" s="57"/>
      <c r="I472" s="2047"/>
      <c r="J472" s="2047"/>
      <c r="K472" s="81"/>
      <c r="L472" s="57"/>
      <c r="M472" s="57"/>
      <c r="N472" s="57"/>
      <c r="O472" s="57"/>
      <c r="P472" s="57"/>
      <c r="Q472" s="57"/>
    </row>
    <row r="473" spans="1:17" ht="15" customHeight="1">
      <c r="B473" s="2911" t="s">
        <v>2299</v>
      </c>
      <c r="C473" s="2912"/>
      <c r="D473" s="2912"/>
      <c r="E473" s="2912"/>
      <c r="F473" s="2912"/>
      <c r="G473" s="2912"/>
      <c r="H473" s="2912"/>
      <c r="I473" s="2912"/>
      <c r="J473" s="2912"/>
      <c r="K473" s="2912"/>
      <c r="L473" s="2912"/>
      <c r="M473" s="2912"/>
      <c r="N473" s="2912"/>
      <c r="O473" s="2912"/>
      <c r="P473" s="2912"/>
      <c r="Q473" s="2913"/>
    </row>
    <row r="474" spans="1:17" ht="15.75" customHeight="1" thickBot="1">
      <c r="B474" s="2914"/>
      <c r="C474" s="2915"/>
      <c r="D474" s="2915"/>
      <c r="E474" s="2915"/>
      <c r="F474" s="2915"/>
      <c r="G474" s="2915"/>
      <c r="H474" s="2915"/>
      <c r="I474" s="2915"/>
      <c r="J474" s="2915"/>
      <c r="K474" s="2915"/>
      <c r="L474" s="2915"/>
      <c r="M474" s="2915"/>
      <c r="N474" s="2915"/>
      <c r="O474" s="2915"/>
      <c r="P474" s="2915"/>
      <c r="Q474" s="2916"/>
    </row>
    <row r="475" spans="1:17">
      <c r="A475" s="54"/>
      <c r="B475" s="54"/>
      <c r="C475" s="54"/>
      <c r="D475" s="54"/>
      <c r="E475" s="54"/>
      <c r="F475" s="54"/>
      <c r="G475" s="54"/>
      <c r="H475" s="54"/>
      <c r="I475" s="54"/>
      <c r="J475" s="54"/>
      <c r="K475" s="54"/>
      <c r="L475" s="54"/>
      <c r="M475" s="54"/>
      <c r="N475" s="54"/>
      <c r="O475" s="54"/>
      <c r="P475" s="54"/>
      <c r="Q475" s="54"/>
    </row>
    <row r="476" spans="1:17" ht="15.75" thickBot="1">
      <c r="A476" s="1979" t="s">
        <v>76</v>
      </c>
      <c r="B476" s="2881" t="str">
        <f>B477</f>
        <v>Gélatine alimentaire</v>
      </c>
      <c r="C476" s="2881"/>
      <c r="D476" s="2881"/>
      <c r="E476" s="2881"/>
      <c r="F476" s="2881"/>
      <c r="G476" s="2881"/>
      <c r="H476" s="2881"/>
      <c r="I476" s="2881"/>
      <c r="J476" s="2881"/>
      <c r="K476" s="2881"/>
      <c r="L476" s="2881"/>
      <c r="M476" s="2881"/>
      <c r="N476" s="2881"/>
      <c r="O476" s="54"/>
      <c r="P476" s="54"/>
      <c r="Q476" s="54"/>
    </row>
    <row r="477" spans="1:17" ht="15" customHeight="1">
      <c r="A477" s="2882" t="str">
        <f>B477</f>
        <v>Gélatine alimentaire</v>
      </c>
      <c r="B477" s="2883" t="s">
        <v>2300</v>
      </c>
      <c r="C477" s="2884"/>
      <c r="D477" s="2884"/>
      <c r="E477" s="2884"/>
      <c r="F477" s="2884"/>
      <c r="G477" s="2884"/>
      <c r="H477" s="2884"/>
      <c r="I477" s="2884"/>
      <c r="J477" s="2884"/>
      <c r="K477" s="2884"/>
      <c r="L477" s="2884"/>
      <c r="M477" s="2884"/>
      <c r="N477" s="2885"/>
      <c r="O477" s="54"/>
      <c r="P477" s="54"/>
      <c r="Q477" s="54"/>
    </row>
    <row r="478" spans="1:17" ht="15" customHeight="1">
      <c r="A478" s="2882"/>
      <c r="B478" s="2886"/>
      <c r="C478" s="2887"/>
      <c r="D478" s="2887"/>
      <c r="E478" s="2887"/>
      <c r="F478" s="2887"/>
      <c r="G478" s="2887"/>
      <c r="H478" s="2887"/>
      <c r="I478" s="2887"/>
      <c r="J478" s="2887"/>
      <c r="K478" s="2887"/>
      <c r="L478" s="2887"/>
      <c r="M478" s="2887"/>
      <c r="N478" s="2888"/>
      <c r="O478" s="54"/>
      <c r="P478" s="54"/>
      <c r="Q478" s="54"/>
    </row>
    <row r="479" spans="1:17" ht="15" customHeight="1">
      <c r="A479" s="2882"/>
      <c r="B479" s="2889" t="s">
        <v>2301</v>
      </c>
      <c r="C479" s="2890"/>
      <c r="D479" s="2890"/>
      <c r="E479" s="2890"/>
      <c r="F479" s="2890"/>
      <c r="G479" s="2890"/>
      <c r="H479" s="2890"/>
      <c r="I479" s="2890"/>
      <c r="J479" s="2890"/>
      <c r="K479" s="2890"/>
      <c r="L479" s="2890"/>
      <c r="M479" s="2890"/>
      <c r="N479" s="2891"/>
      <c r="O479" s="54"/>
      <c r="P479" s="54"/>
      <c r="Q479" s="54"/>
    </row>
    <row r="480" spans="1:17" ht="15.75" customHeight="1">
      <c r="A480" s="2882"/>
      <c r="B480" s="2892"/>
      <c r="C480" s="2893"/>
      <c r="D480" s="2893"/>
      <c r="E480" s="2893"/>
      <c r="F480" s="2893"/>
      <c r="G480" s="2893"/>
      <c r="H480" s="2893"/>
      <c r="I480" s="2893"/>
      <c r="J480" s="2893"/>
      <c r="K480" s="2893"/>
      <c r="L480" s="2893"/>
      <c r="M480" s="2893"/>
      <c r="N480" s="2894"/>
      <c r="O480" s="54"/>
      <c r="P480" s="54"/>
      <c r="Q480" s="54"/>
    </row>
    <row r="481" spans="1:17" ht="15.75" customHeight="1">
      <c r="A481" s="2882"/>
      <c r="B481" s="1980"/>
      <c r="C481" s="1981"/>
      <c r="D481" s="1981"/>
      <c r="E481" s="1981"/>
      <c r="F481" s="1981"/>
      <c r="G481" s="1981"/>
      <c r="H481" s="1981"/>
      <c r="I481" s="1981"/>
      <c r="J481" s="1981"/>
      <c r="K481" s="1981"/>
      <c r="L481" s="1981"/>
      <c r="M481" s="1981"/>
      <c r="N481" s="1982" t="s">
        <v>2302</v>
      </c>
      <c r="O481" s="54"/>
      <c r="P481" s="54"/>
      <c r="Q481" s="54"/>
    </row>
    <row r="482" spans="1:17" ht="16.5" customHeight="1">
      <c r="A482" s="2882"/>
      <c r="B482" s="1980"/>
      <c r="C482" s="1983" t="s">
        <v>2303</v>
      </c>
      <c r="D482" s="1981"/>
      <c r="E482" s="1981"/>
      <c r="F482" s="1981"/>
      <c r="G482" s="1981"/>
      <c r="H482" s="1981"/>
      <c r="I482" s="1981"/>
      <c r="J482" s="1981"/>
      <c r="K482" s="1981"/>
      <c r="L482" s="1981"/>
      <c r="M482" s="1981"/>
      <c r="N482" s="1984"/>
      <c r="O482" s="54"/>
      <c r="P482" s="54"/>
      <c r="Q482" s="54"/>
    </row>
    <row r="483" spans="1:17" ht="15.75" customHeight="1">
      <c r="A483" s="2882"/>
      <c r="B483" s="1980"/>
      <c r="C483" s="1983" t="s">
        <v>2304</v>
      </c>
      <c r="D483" s="1981"/>
      <c r="E483" s="1981"/>
      <c r="F483" s="1981"/>
      <c r="G483" s="1981"/>
      <c r="H483" s="1981"/>
      <c r="I483" s="1981"/>
      <c r="J483" s="1981"/>
      <c r="K483" s="1981"/>
      <c r="L483" s="1981"/>
      <c r="M483" s="1981"/>
      <c r="N483" s="1984"/>
      <c r="O483" s="54"/>
      <c r="P483" s="54"/>
      <c r="Q483" s="54"/>
    </row>
    <row r="484" spans="1:17" ht="15.75">
      <c r="A484" s="2882"/>
      <c r="B484" s="1980"/>
      <c r="C484" s="1983" t="s">
        <v>2305</v>
      </c>
      <c r="D484" s="1981"/>
      <c r="E484" s="1981"/>
      <c r="F484" s="1981"/>
      <c r="G484" s="1981"/>
      <c r="H484" s="1981"/>
      <c r="I484" s="1981"/>
      <c r="J484" s="1981"/>
      <c r="K484" s="1981"/>
      <c r="L484" s="1981"/>
      <c r="M484" s="1981"/>
      <c r="N484" s="1984"/>
      <c r="O484" s="54"/>
      <c r="P484" s="54"/>
      <c r="Q484" s="54"/>
    </row>
    <row r="485" spans="1:17" ht="15.75" customHeight="1">
      <c r="A485" s="2882"/>
      <c r="B485" s="1980"/>
      <c r="C485" s="1983" t="s">
        <v>2306</v>
      </c>
      <c r="D485" s="1981"/>
      <c r="E485" s="1981"/>
      <c r="F485" s="1981"/>
      <c r="G485" s="1981"/>
      <c r="H485" s="1981"/>
      <c r="I485" s="1981"/>
      <c r="J485" s="1981"/>
      <c r="K485" s="1981"/>
      <c r="L485" s="1981"/>
      <c r="M485" s="1981"/>
      <c r="N485" s="1984"/>
      <c r="O485" s="54"/>
      <c r="P485" s="54"/>
      <c r="Q485" s="54"/>
    </row>
    <row r="486" spans="1:17" ht="15.75">
      <c r="A486" s="2882"/>
      <c r="B486" s="1980"/>
      <c r="C486" s="1983" t="s">
        <v>2307</v>
      </c>
      <c r="D486" s="1981"/>
      <c r="E486" s="1981"/>
      <c r="F486" s="1981"/>
      <c r="G486" s="1981"/>
      <c r="H486" s="1981"/>
      <c r="I486" s="1981"/>
      <c r="J486" s="1981"/>
      <c r="K486" s="1981"/>
      <c r="L486" s="1981"/>
      <c r="M486" s="1981"/>
      <c r="N486" s="1984"/>
      <c r="O486" s="54"/>
      <c r="P486" s="54"/>
      <c r="Q486" s="54"/>
    </row>
    <row r="487" spans="1:17" ht="15.75">
      <c r="A487" s="2882"/>
      <c r="B487" s="1980"/>
      <c r="C487" s="1983" t="s">
        <v>2308</v>
      </c>
      <c r="D487" s="1981"/>
      <c r="E487" s="1981"/>
      <c r="F487" s="1981"/>
      <c r="G487" s="1981"/>
      <c r="H487" s="1981"/>
      <c r="I487" s="1981"/>
      <c r="J487" s="1981"/>
      <c r="K487" s="1981"/>
      <c r="L487" s="1981"/>
      <c r="M487" s="1981"/>
      <c r="N487" s="1984"/>
      <c r="O487" s="54"/>
      <c r="P487" s="54"/>
      <c r="Q487" s="54"/>
    </row>
    <row r="488" spans="1:17" ht="15.75">
      <c r="A488" s="2882"/>
      <c r="B488" s="1980"/>
      <c r="C488" s="1983" t="s">
        <v>2309</v>
      </c>
      <c r="D488" s="1981"/>
      <c r="E488" s="1981"/>
      <c r="F488" s="1981"/>
      <c r="G488" s="1981"/>
      <c r="H488" s="1981"/>
      <c r="I488" s="1981"/>
      <c r="J488" s="1981"/>
      <c r="K488" s="1981"/>
      <c r="L488" s="1981"/>
      <c r="M488" s="1981"/>
      <c r="N488" s="1984"/>
      <c r="O488" s="54"/>
      <c r="P488" s="54"/>
      <c r="Q488" s="54"/>
    </row>
    <row r="489" spans="1:17">
      <c r="A489" s="2882"/>
      <c r="B489" s="1980"/>
      <c r="C489" s="1981"/>
      <c r="D489" s="1981"/>
      <c r="E489" s="1981"/>
      <c r="F489" s="1981"/>
      <c r="G489" s="1981"/>
      <c r="H489" s="1981"/>
      <c r="I489" s="1981"/>
      <c r="J489" s="1981"/>
      <c r="K489" s="1981"/>
      <c r="L489" s="1981"/>
      <c r="M489" s="1981"/>
      <c r="N489" s="1984"/>
      <c r="O489" s="54"/>
      <c r="P489" s="54"/>
      <c r="Q489" s="54"/>
    </row>
    <row r="490" spans="1:17">
      <c r="A490" s="2882"/>
      <c r="B490" s="1980"/>
      <c r="C490" s="2917" t="s">
        <v>2310</v>
      </c>
      <c r="D490" s="2918"/>
      <c r="E490" s="2918"/>
      <c r="F490" s="2918"/>
      <c r="G490" s="2918"/>
      <c r="H490" s="2918"/>
      <c r="I490" s="2918"/>
      <c r="J490" s="2918"/>
      <c r="K490" s="2918"/>
      <c r="L490" s="2918"/>
      <c r="M490" s="2919"/>
      <c r="N490" s="1984"/>
      <c r="O490" s="54"/>
      <c r="P490" s="54"/>
      <c r="Q490" s="54"/>
    </row>
    <row r="491" spans="1:17">
      <c r="A491" s="2882"/>
      <c r="B491" s="1980"/>
      <c r="C491" s="1988"/>
      <c r="D491" s="1989"/>
      <c r="E491" s="1"/>
      <c r="F491" s="1985" t="s">
        <v>75</v>
      </c>
      <c r="G491" s="1989"/>
      <c r="H491" s="2920" t="s">
        <v>2311</v>
      </c>
      <c r="I491" s="2920"/>
      <c r="J491" s="2920"/>
      <c r="K491" s="2920"/>
      <c r="L491" s="2920"/>
      <c r="M491" s="2921"/>
      <c r="N491" s="1984"/>
      <c r="O491" s="54"/>
      <c r="P491" s="54"/>
      <c r="Q491" s="54"/>
    </row>
    <row r="492" spans="1:17" ht="15.75">
      <c r="A492" s="2882"/>
      <c r="B492" s="1980"/>
      <c r="C492" s="1990" t="s">
        <v>95</v>
      </c>
      <c r="D492" s="2922" t="s">
        <v>2312</v>
      </c>
      <c r="E492" s="2922"/>
      <c r="F492" s="1991">
        <v>2</v>
      </c>
      <c r="G492" s="44"/>
      <c r="H492" s="1992" t="s">
        <v>2313</v>
      </c>
      <c r="I492" s="44"/>
      <c r="J492" s="44"/>
      <c r="K492" s="1993"/>
      <c r="L492" s="1993"/>
      <c r="M492" s="1994"/>
      <c r="N492" s="1984"/>
      <c r="O492" s="54"/>
      <c r="P492" s="54"/>
      <c r="Q492" s="54"/>
    </row>
    <row r="493" spans="1:17" ht="15.75">
      <c r="A493" s="2882"/>
      <c r="B493" s="1980"/>
      <c r="C493" s="1995">
        <v>10</v>
      </c>
      <c r="D493" s="1996" t="s">
        <v>140</v>
      </c>
      <c r="E493" s="1"/>
      <c r="F493" s="1997">
        <f>C493*F492</f>
        <v>20</v>
      </c>
      <c r="G493" s="1998"/>
      <c r="H493" s="1999" t="s">
        <v>2314</v>
      </c>
      <c r="I493" s="44"/>
      <c r="J493" s="44"/>
      <c r="K493" s="1993"/>
      <c r="L493" s="1993"/>
      <c r="M493" s="1994"/>
      <c r="N493" s="1984"/>
      <c r="O493" s="54"/>
      <c r="P493" s="54"/>
      <c r="Q493" s="54"/>
    </row>
    <row r="494" spans="1:17" ht="15.75">
      <c r="A494" s="2882"/>
      <c r="B494" s="1980"/>
      <c r="C494" s="2000"/>
      <c r="D494" s="2001"/>
      <c r="E494" s="1993"/>
      <c r="F494" s="1993"/>
      <c r="G494" s="1993"/>
      <c r="H494" s="1999" t="s">
        <v>2315</v>
      </c>
      <c r="I494" s="2041"/>
      <c r="J494" s="44"/>
      <c r="K494" s="1993"/>
      <c r="L494" s="1993"/>
      <c r="M494" s="1994"/>
      <c r="N494" s="1984"/>
      <c r="O494" s="54"/>
      <c r="P494" s="54"/>
      <c r="Q494" s="54"/>
    </row>
    <row r="495" spans="1:17" ht="15.75">
      <c r="A495" s="2882"/>
      <c r="B495" s="1980"/>
      <c r="C495" s="1990"/>
      <c r="D495" s="2002"/>
      <c r="E495" s="1993"/>
      <c r="F495" s="1993"/>
      <c r="G495" s="1993"/>
      <c r="H495" s="1992" t="s">
        <v>2316</v>
      </c>
      <c r="I495" s="44"/>
      <c r="J495" s="44"/>
      <c r="K495" s="1993"/>
      <c r="L495" s="1993"/>
      <c r="M495" s="1994"/>
      <c r="N495" s="1984"/>
      <c r="O495" s="54"/>
      <c r="P495" s="54"/>
      <c r="Q495" s="54"/>
    </row>
    <row r="496" spans="1:17" ht="15.75">
      <c r="A496" s="2882"/>
      <c r="B496" s="1980"/>
      <c r="C496" s="2004" t="s">
        <v>75</v>
      </c>
      <c r="D496" s="2005" t="s">
        <v>2317</v>
      </c>
      <c r="E496" s="2006"/>
      <c r="F496" s="2006"/>
      <c r="G496" s="2006"/>
      <c r="H496" s="2006"/>
      <c r="I496" s="2006"/>
      <c r="J496" s="2006"/>
      <c r="K496" s="2006"/>
      <c r="L496" s="2006"/>
      <c r="M496" s="2007"/>
      <c r="N496" s="1984"/>
      <c r="O496" s="54"/>
      <c r="P496" s="54"/>
      <c r="Q496" s="54"/>
    </row>
    <row r="497" spans="1:17" ht="15.75">
      <c r="A497" s="2882"/>
      <c r="B497" s="1980"/>
      <c r="C497" s="2008" t="s">
        <v>95</v>
      </c>
      <c r="D497" s="2238" t="s">
        <v>2318</v>
      </c>
      <c r="E497" s="2239"/>
      <c r="F497" s="2239"/>
      <c r="G497" s="2239"/>
      <c r="H497" s="2239"/>
      <c r="I497" s="2239"/>
      <c r="J497" s="2239"/>
      <c r="K497" s="2239"/>
      <c r="L497" s="2239"/>
      <c r="M497" s="2009"/>
      <c r="N497" s="1984"/>
      <c r="O497" s="54"/>
      <c r="P497" s="54"/>
      <c r="Q497" s="54"/>
    </row>
    <row r="498" spans="1:17">
      <c r="A498" s="2882"/>
      <c r="B498" s="2003" t="str">
        <f ca="1">CELL("nomfichier",A494)</f>
        <v>F:\Bureau\pour UPRT 5 decembre\[re-boudins-blancs.xlsx]Formats-formules-pourcentages</v>
      </c>
      <c r="C498" s="1981"/>
      <c r="D498" s="1981"/>
      <c r="E498" s="1981"/>
      <c r="F498" s="1981"/>
      <c r="G498" s="1981"/>
      <c r="H498" s="1981"/>
      <c r="I498" s="1981"/>
      <c r="J498" s="1981"/>
      <c r="K498" s="1981"/>
      <c r="L498" s="1981"/>
      <c r="M498" s="1981"/>
      <c r="N498" s="1984"/>
      <c r="O498" s="54"/>
      <c r="P498" s="54"/>
      <c r="Q498" s="54"/>
    </row>
    <row r="499" spans="1:17" ht="15" customHeight="1">
      <c r="A499" s="2882"/>
      <c r="B499" s="2902" t="s">
        <v>2319</v>
      </c>
      <c r="C499" s="2903"/>
      <c r="D499" s="2903"/>
      <c r="E499" s="2903"/>
      <c r="F499" s="2903"/>
      <c r="G499" s="2903"/>
      <c r="H499" s="2903"/>
      <c r="I499" s="2903"/>
      <c r="J499" s="2903"/>
      <c r="K499" s="2903"/>
      <c r="L499" s="2903"/>
      <c r="M499" s="2903"/>
      <c r="N499" s="2904"/>
      <c r="O499" s="54"/>
      <c r="P499" s="54"/>
      <c r="Q499" s="54"/>
    </row>
    <row r="500" spans="1:17" ht="15.75" thickBot="1">
      <c r="A500" s="2882"/>
      <c r="B500" s="2905"/>
      <c r="C500" s="2906"/>
      <c r="D500" s="2906"/>
      <c r="E500" s="2906"/>
      <c r="F500" s="2906"/>
      <c r="G500" s="2906"/>
      <c r="H500" s="2906"/>
      <c r="I500" s="2906"/>
      <c r="J500" s="2906"/>
      <c r="K500" s="2906"/>
      <c r="L500" s="2906"/>
      <c r="M500" s="2906"/>
      <c r="N500" s="2907"/>
      <c r="O500" s="54"/>
      <c r="P500" s="54"/>
      <c r="Q500" s="54"/>
    </row>
    <row r="501" spans="1:17">
      <c r="B501" s="54"/>
      <c r="C501" s="54"/>
      <c r="D501" s="54"/>
      <c r="E501" s="54"/>
      <c r="F501" s="54"/>
      <c r="G501" s="54"/>
      <c r="H501" s="54"/>
      <c r="I501" s="54"/>
      <c r="J501" s="54"/>
      <c r="K501" s="54"/>
      <c r="L501" s="54"/>
      <c r="M501" s="54"/>
      <c r="N501" s="54"/>
      <c r="O501" s="54"/>
      <c r="P501" s="54"/>
      <c r="Q501" s="54"/>
    </row>
    <row r="502" spans="1:17" ht="15.75" thickBot="1">
      <c r="A502" s="1979" t="s">
        <v>76</v>
      </c>
      <c r="B502" s="2881" t="str">
        <f>B503</f>
        <v>ŒUFS poids et %</v>
      </c>
      <c r="C502" s="2881"/>
      <c r="D502" s="2881"/>
      <c r="E502" s="2881"/>
      <c r="F502" s="2881"/>
      <c r="G502" s="2881"/>
      <c r="H502" s="2881"/>
      <c r="I502" s="2881"/>
      <c r="J502" s="2881"/>
      <c r="K502" s="2881"/>
      <c r="L502" s="2881"/>
      <c r="M502" s="2881"/>
      <c r="N502" s="2881"/>
      <c r="O502" s="54"/>
      <c r="P502" s="54"/>
      <c r="Q502" s="54"/>
    </row>
    <row r="503" spans="1:17" ht="15" customHeight="1">
      <c r="A503" s="2882" t="str">
        <f>B503</f>
        <v>ŒUFS poids et %</v>
      </c>
      <c r="B503" s="2883" t="s">
        <v>2320</v>
      </c>
      <c r="C503" s="2884"/>
      <c r="D503" s="2884"/>
      <c r="E503" s="2884"/>
      <c r="F503" s="2884"/>
      <c r="G503" s="2884"/>
      <c r="H503" s="2884"/>
      <c r="I503" s="2884"/>
      <c r="J503" s="2884"/>
      <c r="K503" s="2884"/>
      <c r="L503" s="2884"/>
      <c r="M503" s="2884"/>
      <c r="N503" s="2885"/>
      <c r="O503" s="54"/>
      <c r="P503" s="54"/>
      <c r="Q503" s="54"/>
    </row>
    <row r="504" spans="1:17" ht="15" customHeight="1">
      <c r="A504" s="2882"/>
      <c r="B504" s="2886"/>
      <c r="C504" s="2887"/>
      <c r="D504" s="2887"/>
      <c r="E504" s="2887"/>
      <c r="F504" s="2887"/>
      <c r="G504" s="2887"/>
      <c r="H504" s="2887"/>
      <c r="I504" s="2887"/>
      <c r="J504" s="2887"/>
      <c r="K504" s="2887"/>
      <c r="L504" s="2887"/>
      <c r="M504" s="2887"/>
      <c r="N504" s="2888"/>
      <c r="O504" s="54"/>
      <c r="P504" s="54"/>
      <c r="Q504" s="54"/>
    </row>
    <row r="505" spans="1:17" ht="15" customHeight="1">
      <c r="A505" s="2882"/>
      <c r="B505" s="2889" t="s">
        <v>285</v>
      </c>
      <c r="C505" s="2890"/>
      <c r="D505" s="2890"/>
      <c r="E505" s="2890"/>
      <c r="F505" s="2890"/>
      <c r="G505" s="2890"/>
      <c r="H505" s="2890"/>
      <c r="I505" s="2890"/>
      <c r="J505" s="2890"/>
      <c r="K505" s="2890"/>
      <c r="L505" s="2890"/>
      <c r="M505" s="2890"/>
      <c r="N505" s="2891"/>
      <c r="O505" s="54"/>
      <c r="P505" s="54"/>
      <c r="Q505" s="54"/>
    </row>
    <row r="506" spans="1:17" ht="15.75" customHeight="1">
      <c r="A506" s="2882"/>
      <c r="B506" s="2892"/>
      <c r="C506" s="2893"/>
      <c r="D506" s="2893"/>
      <c r="E506" s="2893"/>
      <c r="F506" s="2893"/>
      <c r="G506" s="2893"/>
      <c r="H506" s="2893"/>
      <c r="I506" s="2893"/>
      <c r="J506" s="2893"/>
      <c r="K506" s="2893"/>
      <c r="L506" s="2893"/>
      <c r="M506" s="2893"/>
      <c r="N506" s="2894"/>
      <c r="O506" s="54"/>
      <c r="P506" s="54"/>
      <c r="Q506" s="54"/>
    </row>
    <row r="507" spans="1:17" ht="15" customHeight="1">
      <c r="A507" s="2882"/>
      <c r="B507" s="2895" t="s">
        <v>2320</v>
      </c>
      <c r="C507" s="2896"/>
      <c r="D507" s="2896"/>
      <c r="E507" s="2896"/>
      <c r="F507" s="2896"/>
      <c r="G507" s="2896"/>
      <c r="H507" s="2896"/>
      <c r="I507" s="2896"/>
      <c r="J507" s="2896"/>
      <c r="K507" s="2896"/>
      <c r="L507" s="2896"/>
      <c r="M507" s="2896"/>
      <c r="N507" s="2897"/>
      <c r="O507" s="54"/>
      <c r="P507" s="54"/>
      <c r="Q507" s="54"/>
    </row>
    <row r="508" spans="1:17" ht="15.75" customHeight="1">
      <c r="A508" s="2882"/>
      <c r="B508" s="2010" t="s">
        <v>95</v>
      </c>
      <c r="C508" s="2240"/>
      <c r="D508" s="2241" t="s">
        <v>75</v>
      </c>
      <c r="E508" s="2240"/>
      <c r="F508" s="2240"/>
      <c r="G508" s="2242" t="s">
        <v>95</v>
      </c>
      <c r="H508" s="2240"/>
      <c r="I508" s="2241" t="s">
        <v>75</v>
      </c>
      <c r="J508" s="2240"/>
      <c r="K508" s="2242" t="s">
        <v>95</v>
      </c>
      <c r="L508" s="2240"/>
      <c r="M508" s="2241" t="s">
        <v>75</v>
      </c>
      <c r="N508" s="2011"/>
      <c r="O508" s="54"/>
      <c r="P508" s="54"/>
      <c r="Q508" s="54"/>
    </row>
    <row r="509" spans="1:17" ht="18.75" customHeight="1">
      <c r="A509" s="2882"/>
      <c r="B509" s="2898" t="s">
        <v>2321</v>
      </c>
      <c r="C509" s="2899"/>
      <c r="D509" s="2243">
        <v>50</v>
      </c>
      <c r="E509" s="2244">
        <v>1</v>
      </c>
      <c r="F509" s="2245"/>
      <c r="G509" s="2900" t="s">
        <v>2322</v>
      </c>
      <c r="H509" s="2901"/>
      <c r="I509" s="2243">
        <v>20</v>
      </c>
      <c r="J509" s="2246">
        <f>I509/D509</f>
        <v>0.4</v>
      </c>
      <c r="K509" s="2900" t="s">
        <v>2323</v>
      </c>
      <c r="L509" s="2901"/>
      <c r="M509" s="2243">
        <v>30</v>
      </c>
      <c r="N509" s="1986">
        <f>M509/D509</f>
        <v>0.6</v>
      </c>
      <c r="O509" s="54"/>
      <c r="P509" s="54"/>
      <c r="Q509" s="54"/>
    </row>
    <row r="510" spans="1:17" ht="15.75">
      <c r="A510" s="2882"/>
      <c r="B510" s="2012">
        <v>4</v>
      </c>
      <c r="C510" s="2039" t="s">
        <v>2324</v>
      </c>
      <c r="D510" s="2039">
        <f>B510*D509</f>
        <v>200</v>
      </c>
      <c r="E510" s="1996" t="s">
        <v>41</v>
      </c>
      <c r="F510" s="1"/>
      <c r="G510" s="2012">
        <v>10</v>
      </c>
      <c r="H510" s="2039" t="s">
        <v>2325</v>
      </c>
      <c r="I510" s="2039">
        <f>G510*I509</f>
        <v>200</v>
      </c>
      <c r="J510" s="1996" t="s">
        <v>41</v>
      </c>
      <c r="K510" s="2012">
        <v>12</v>
      </c>
      <c r="L510" s="2039" t="s">
        <v>2326</v>
      </c>
      <c r="M510" s="2039">
        <f>K510*M509</f>
        <v>360</v>
      </c>
      <c r="N510" s="1987" t="s">
        <v>41</v>
      </c>
      <c r="O510" s="54"/>
      <c r="P510" s="54"/>
      <c r="Q510" s="54"/>
    </row>
    <row r="511" spans="1:17" ht="15.75" customHeight="1">
      <c r="A511" s="2882"/>
      <c r="B511" s="2013" t="s">
        <v>66</v>
      </c>
      <c r="C511" s="2014" t="s">
        <v>2327</v>
      </c>
      <c r="D511" s="2014" t="s">
        <v>2328</v>
      </c>
      <c r="E511" s="2014" t="s">
        <v>2329</v>
      </c>
      <c r="F511" s="1"/>
      <c r="G511" s="2013" t="s">
        <v>66</v>
      </c>
      <c r="H511" s="2014" t="s">
        <v>2327</v>
      </c>
      <c r="I511" s="2014" t="s">
        <v>2328</v>
      </c>
      <c r="J511" s="2014" t="s">
        <v>2329</v>
      </c>
      <c r="K511" s="2013" t="s">
        <v>66</v>
      </c>
      <c r="L511" s="2014" t="s">
        <v>2327</v>
      </c>
      <c r="M511" s="2014" t="s">
        <v>2328</v>
      </c>
      <c r="N511" s="2015" t="s">
        <v>2329</v>
      </c>
      <c r="O511" s="54"/>
      <c r="P511" s="54"/>
      <c r="Q511" s="54"/>
    </row>
    <row r="512" spans="1:17">
      <c r="A512" s="2882"/>
      <c r="B512" s="2016">
        <f>D510</f>
        <v>200</v>
      </c>
      <c r="C512" s="2017">
        <f>B512*C513</f>
        <v>24.489795918367346</v>
      </c>
      <c r="D512" s="2017">
        <f>B512*D513</f>
        <v>22.448979591836736</v>
      </c>
      <c r="E512" s="2017">
        <f>B512*E513</f>
        <v>153.0612244897959</v>
      </c>
      <c r="F512" s="1"/>
      <c r="G512" s="2016">
        <f>I510</f>
        <v>200</v>
      </c>
      <c r="H512" s="2018">
        <f>G512*H513</f>
        <v>34.4</v>
      </c>
      <c r="I512" s="2018">
        <f>G512*I513</f>
        <v>64.600000000000009</v>
      </c>
      <c r="J512" s="2018">
        <f>G512*J513</f>
        <v>101</v>
      </c>
      <c r="K512" s="2016">
        <f>M510</f>
        <v>360</v>
      </c>
      <c r="L512" s="2017">
        <f>K512*L513</f>
        <v>39.96</v>
      </c>
      <c r="M512" s="2017">
        <f>K512*M513</f>
        <v>0</v>
      </c>
      <c r="N512" s="2019">
        <f>K512*N513</f>
        <v>320</v>
      </c>
      <c r="O512" s="54"/>
      <c r="P512" s="54"/>
      <c r="Q512" s="54"/>
    </row>
    <row r="513" spans="1:17">
      <c r="A513" s="2882"/>
      <c r="B513" s="2020">
        <f>C513+D513+E513</f>
        <v>1</v>
      </c>
      <c r="C513" s="2021">
        <v>0.12244897959183673</v>
      </c>
      <c r="D513" s="2021">
        <v>0.11224489795918367</v>
      </c>
      <c r="E513" s="2021">
        <v>0.76530612244897955</v>
      </c>
      <c r="F513" s="1"/>
      <c r="G513" s="2020">
        <f>H513+I513+J513</f>
        <v>1</v>
      </c>
      <c r="H513" s="2021">
        <v>0.17199999999999999</v>
      </c>
      <c r="I513" s="2021">
        <v>0.32300000000000001</v>
      </c>
      <c r="J513" s="2021">
        <v>0.505</v>
      </c>
      <c r="K513" s="2020">
        <f>L513+M513+N513</f>
        <v>0.99988888888888894</v>
      </c>
      <c r="L513" s="2021">
        <v>0.111</v>
      </c>
      <c r="M513" s="2022">
        <v>0</v>
      </c>
      <c r="N513" s="2023">
        <v>0.88888888888888895</v>
      </c>
      <c r="O513" s="54"/>
      <c r="P513" s="54"/>
      <c r="Q513" s="54"/>
    </row>
    <row r="514" spans="1:17">
      <c r="A514" s="2882"/>
      <c r="B514" s="2024"/>
      <c r="C514" s="2241" t="s">
        <v>75</v>
      </c>
      <c r="D514" s="2241" t="s">
        <v>75</v>
      </c>
      <c r="E514" s="2241" t="s">
        <v>75</v>
      </c>
      <c r="F514" s="1131"/>
      <c r="G514" s="2024"/>
      <c r="H514" s="2241" t="s">
        <v>75</v>
      </c>
      <c r="I514" s="2241" t="s">
        <v>75</v>
      </c>
      <c r="J514" s="2241" t="s">
        <v>75</v>
      </c>
      <c r="K514" s="2024"/>
      <c r="L514" s="2241" t="s">
        <v>75</v>
      </c>
      <c r="M514" s="2247"/>
      <c r="N514" s="2025" t="s">
        <v>75</v>
      </c>
      <c r="O514" s="54"/>
      <c r="P514" s="54"/>
      <c r="Q514" s="54"/>
    </row>
    <row r="515" spans="1:17">
      <c r="A515" s="2882"/>
      <c r="B515" s="2026" t="s">
        <v>75</v>
      </c>
      <c r="C515" s="2027" t="s">
        <v>2330</v>
      </c>
      <c r="D515" s="2028"/>
      <c r="E515" s="2028"/>
      <c r="F515" s="2028"/>
      <c r="G515" s="2028"/>
      <c r="H515" s="2028"/>
      <c r="I515" s="2028"/>
      <c r="J515" s="2028"/>
      <c r="K515" s="2028"/>
      <c r="L515" s="2028"/>
      <c r="M515" s="2028"/>
      <c r="N515" s="2029"/>
      <c r="O515" s="54"/>
      <c r="P515" s="54"/>
      <c r="Q515" s="54"/>
    </row>
    <row r="516" spans="1:17" ht="15.75">
      <c r="A516" s="2882"/>
      <c r="B516" s="2030" t="s">
        <v>95</v>
      </c>
      <c r="C516" s="2031" t="s">
        <v>2331</v>
      </c>
      <c r="D516" s="2028"/>
      <c r="E516" s="2028"/>
      <c r="F516" s="2028"/>
      <c r="G516" s="2028"/>
      <c r="H516" s="2028"/>
      <c r="I516" s="2028"/>
      <c r="J516" s="2028"/>
      <c r="K516" s="2028"/>
      <c r="L516" s="2028"/>
      <c r="M516" s="1981"/>
      <c r="N516" s="2032" t="s">
        <v>2302</v>
      </c>
      <c r="O516" s="54"/>
      <c r="P516" s="54"/>
      <c r="Q516" s="54"/>
    </row>
    <row r="517" spans="1:17">
      <c r="A517" s="2882"/>
      <c r="B517" s="2033"/>
      <c r="C517" s="1985"/>
      <c r="D517" s="2034" t="s">
        <v>2332</v>
      </c>
      <c r="E517" s="2035" t="s">
        <v>2333</v>
      </c>
      <c r="F517" s="1"/>
      <c r="G517" s="2022"/>
      <c r="H517" s="1985"/>
      <c r="I517" s="1985"/>
      <c r="J517" s="1985"/>
      <c r="K517" s="2028"/>
      <c r="L517" s="2028"/>
      <c r="M517" s="1981"/>
      <c r="N517" s="2029"/>
      <c r="O517" s="54"/>
      <c r="P517" s="54"/>
      <c r="Q517" s="54"/>
    </row>
    <row r="518" spans="1:17" ht="15" customHeight="1">
      <c r="A518" s="2882"/>
      <c r="B518" s="2902" t="s">
        <v>2319</v>
      </c>
      <c r="C518" s="2903"/>
      <c r="D518" s="2903"/>
      <c r="E518" s="2903"/>
      <c r="F518" s="2903"/>
      <c r="G518" s="2903"/>
      <c r="H518" s="2903"/>
      <c r="I518" s="2903"/>
      <c r="J518" s="2903"/>
      <c r="K518" s="2903"/>
      <c r="L518" s="2903"/>
      <c r="M518" s="2903"/>
      <c r="N518" s="2904"/>
      <c r="O518" s="54"/>
      <c r="P518" s="54"/>
      <c r="Q518" s="54"/>
    </row>
    <row r="519" spans="1:17" ht="15.75" thickBot="1">
      <c r="A519" s="2882"/>
      <c r="B519" s="2905"/>
      <c r="C519" s="2906"/>
      <c r="D519" s="2906"/>
      <c r="E519" s="2906"/>
      <c r="F519" s="2906"/>
      <c r="G519" s="2906"/>
      <c r="H519" s="2906"/>
      <c r="I519" s="2906"/>
      <c r="J519" s="2906"/>
      <c r="K519" s="2906"/>
      <c r="L519" s="2906"/>
      <c r="M519" s="2906"/>
      <c r="N519" s="2907"/>
      <c r="O519" s="54"/>
      <c r="P519" s="54"/>
      <c r="Q519" s="54"/>
    </row>
    <row r="520" spans="1:17">
      <c r="A520" s="58"/>
      <c r="B520" s="2049"/>
      <c r="C520" s="2049"/>
      <c r="D520" s="2049"/>
      <c r="E520" s="2049"/>
      <c r="F520" s="2049"/>
      <c r="G520" s="2049"/>
      <c r="H520" s="57"/>
      <c r="I520" s="2047"/>
      <c r="J520" s="2047"/>
      <c r="K520" s="81"/>
      <c r="L520" s="57"/>
      <c r="M520" s="57"/>
      <c r="N520" s="57"/>
      <c r="O520" s="57"/>
      <c r="P520" s="57"/>
      <c r="Q520" s="57"/>
    </row>
    <row r="521" spans="1:17">
      <c r="A521" s="1647"/>
      <c r="B521" s="1648"/>
      <c r="C521" s="1649"/>
      <c r="D521" s="1649"/>
      <c r="E521" s="1649"/>
      <c r="F521" s="1649"/>
      <c r="G521" s="1649"/>
      <c r="H521" s="1649"/>
      <c r="I521" s="1649"/>
      <c r="J521" s="1648"/>
      <c r="K521" s="1648"/>
      <c r="L521" s="1648"/>
      <c r="M521" s="1647"/>
      <c r="N521" s="1647"/>
      <c r="O521" s="1647"/>
      <c r="P521" s="1647"/>
      <c r="Q521" s="1647"/>
    </row>
    <row r="522" spans="1:17" ht="16.5" thickBot="1">
      <c r="A522" s="58"/>
      <c r="B522" s="284"/>
      <c r="C522" s="285"/>
      <c r="D522" s="285"/>
      <c r="E522" s="285"/>
      <c r="F522" s="285"/>
      <c r="G522" s="285"/>
      <c r="H522" s="57"/>
      <c r="I522" s="57"/>
      <c r="J522" s="57"/>
      <c r="K522" s="57"/>
      <c r="L522" s="57"/>
      <c r="M522" s="57"/>
      <c r="N522" s="57"/>
      <c r="O522" s="57"/>
      <c r="P522" s="57"/>
      <c r="Q522" s="58"/>
    </row>
    <row r="523" spans="1:17" ht="15.75">
      <c r="A523" s="75"/>
      <c r="B523" s="286"/>
      <c r="C523" s="287"/>
      <c r="D523" s="287"/>
      <c r="E523" s="287"/>
      <c r="F523" s="287"/>
      <c r="G523" s="287"/>
      <c r="H523" s="287"/>
      <c r="I523" s="287"/>
      <c r="J523" s="288" t="s">
        <v>337</v>
      </c>
      <c r="K523" s="57"/>
      <c r="L523" s="57"/>
      <c r="M523" s="57"/>
      <c r="N523" s="57"/>
      <c r="O523" s="57"/>
      <c r="P523" s="57"/>
      <c r="Q523" s="58"/>
    </row>
    <row r="524" spans="1:17">
      <c r="A524" s="75"/>
      <c r="B524" s="289"/>
      <c r="C524" s="1675" t="s">
        <v>338</v>
      </c>
      <c r="D524" s="2248">
        <v>0.44</v>
      </c>
      <c r="E524" s="57"/>
      <c r="F524" s="290" t="s">
        <v>338</v>
      </c>
      <c r="G524" s="2248">
        <v>100</v>
      </c>
      <c r="H524" s="57"/>
      <c r="I524" s="291" t="s">
        <v>339</v>
      </c>
      <c r="J524" s="292">
        <v>115</v>
      </c>
      <c r="K524" s="57"/>
      <c r="L524" s="57"/>
      <c r="M524" s="58"/>
      <c r="N524" s="58"/>
      <c r="O524" s="58"/>
      <c r="P524" s="58"/>
      <c r="Q524" s="58"/>
    </row>
    <row r="525" spans="1:17">
      <c r="A525" s="75"/>
      <c r="B525" s="293"/>
      <c r="C525" s="294" t="s">
        <v>340</v>
      </c>
      <c r="D525" s="2249">
        <v>60</v>
      </c>
      <c r="E525" s="57"/>
      <c r="F525" s="294" t="s">
        <v>341</v>
      </c>
      <c r="G525" s="2250">
        <v>10</v>
      </c>
      <c r="H525" s="57"/>
      <c r="I525" s="290" t="s">
        <v>338</v>
      </c>
      <c r="J525" s="295">
        <v>133</v>
      </c>
      <c r="K525" s="57"/>
      <c r="L525" s="57"/>
      <c r="M525" s="58"/>
      <c r="N525" s="58"/>
      <c r="O525" s="58"/>
      <c r="P525" s="58"/>
      <c r="Q525" s="58"/>
    </row>
    <row r="526" spans="1:17">
      <c r="A526" s="75"/>
      <c r="B526" s="296"/>
      <c r="C526" s="297" t="s">
        <v>341</v>
      </c>
      <c r="D526" s="2251">
        <f>D524*D525%</f>
        <v>0.26400000000000001</v>
      </c>
      <c r="E526" s="57"/>
      <c r="F526" s="298" t="s">
        <v>339</v>
      </c>
      <c r="G526" s="2251">
        <f>IF(G524=0,0,G524+G525)</f>
        <v>110</v>
      </c>
      <c r="H526" s="57"/>
      <c r="I526" s="297" t="s">
        <v>341</v>
      </c>
      <c r="J526" s="299">
        <f>IF(J524=0,0,IF(J525=0,0,J524-J525))</f>
        <v>-18</v>
      </c>
      <c r="K526" s="57"/>
      <c r="L526" s="57"/>
      <c r="M526" s="58"/>
      <c r="N526" s="58"/>
      <c r="O526" s="58"/>
      <c r="P526" s="58"/>
      <c r="Q526" s="58"/>
    </row>
    <row r="527" spans="1:17">
      <c r="A527" s="75"/>
      <c r="B527" s="2252"/>
      <c r="C527" s="298" t="s">
        <v>339</v>
      </c>
      <c r="D527" s="2251">
        <f>((D524*D525)/100)+D524</f>
        <v>0.70399999999999996</v>
      </c>
      <c r="E527" s="135"/>
      <c r="F527" s="300" t="s">
        <v>340</v>
      </c>
      <c r="G527" s="2253">
        <f>IF(G524=0,0,IF(ISBLANK(G524),0,(G525/G524)*100))</f>
        <v>10</v>
      </c>
      <c r="H527" s="135"/>
      <c r="I527" s="300" t="s">
        <v>340</v>
      </c>
      <c r="J527" s="301">
        <f>IF(J525=0,0,IF(ISBLANK(J525),0,(J526/J525)*100))</f>
        <v>-13.533834586466165</v>
      </c>
      <c r="K527" s="57"/>
      <c r="L527" s="57"/>
      <c r="M527" s="58"/>
      <c r="N527" s="58"/>
      <c r="O527" s="58"/>
      <c r="P527" s="58"/>
      <c r="Q527" s="58"/>
    </row>
    <row r="528" spans="1:17">
      <c r="A528" s="75"/>
      <c r="B528" s="302"/>
      <c r="C528" s="2254"/>
      <c r="D528" s="2255"/>
      <c r="E528" s="2256"/>
      <c r="F528" s="2257"/>
      <c r="G528" s="2258"/>
      <c r="H528" s="2256"/>
      <c r="I528" s="2257"/>
      <c r="J528" s="303"/>
      <c r="K528" s="57"/>
      <c r="L528" s="57"/>
      <c r="M528" s="58"/>
      <c r="N528" s="58"/>
      <c r="O528" s="58"/>
      <c r="P528" s="58"/>
      <c r="Q528" s="58"/>
    </row>
    <row r="529" spans="1:17">
      <c r="A529" s="75"/>
      <c r="B529" s="289"/>
      <c r="C529" s="290" t="s">
        <v>338</v>
      </c>
      <c r="D529" s="2248">
        <v>5.8970000000000002</v>
      </c>
      <c r="E529" s="57"/>
      <c r="F529" s="291" t="s">
        <v>339</v>
      </c>
      <c r="G529" s="2250">
        <v>9.64</v>
      </c>
      <c r="H529" s="57"/>
      <c r="I529" s="291" t="s">
        <v>339</v>
      </c>
      <c r="J529" s="292">
        <v>100</v>
      </c>
      <c r="K529" s="57"/>
      <c r="L529" s="57"/>
      <c r="M529" s="58"/>
      <c r="N529" s="58"/>
      <c r="O529" s="58"/>
      <c r="P529" s="58"/>
      <c r="Q529" s="58"/>
    </row>
    <row r="530" spans="1:17" ht="45">
      <c r="A530" s="75"/>
      <c r="B530" s="304"/>
      <c r="C530" s="291" t="s">
        <v>339</v>
      </c>
      <c r="D530" s="2250">
        <v>9.64</v>
      </c>
      <c r="E530" s="57"/>
      <c r="F530" s="305" t="s">
        <v>340</v>
      </c>
      <c r="G530" s="2259">
        <v>63.5</v>
      </c>
      <c r="H530" s="57"/>
      <c r="I530" s="305" t="s">
        <v>341</v>
      </c>
      <c r="J530" s="292">
        <v>50</v>
      </c>
      <c r="K530" s="57"/>
      <c r="L530" s="57"/>
      <c r="M530" s="58"/>
      <c r="N530" s="58"/>
      <c r="O530" s="58"/>
      <c r="P530" s="58"/>
      <c r="Q530" s="58"/>
    </row>
    <row r="531" spans="1:17">
      <c r="A531" s="75"/>
      <c r="B531" s="296"/>
      <c r="C531" s="297" t="s">
        <v>341</v>
      </c>
      <c r="D531" s="2251">
        <f>IF(D529=0,0,IF(D530=0,0,D530-D529))</f>
        <v>3.7430000000000003</v>
      </c>
      <c r="E531" s="57"/>
      <c r="F531" s="297" t="s">
        <v>341</v>
      </c>
      <c r="G531" s="2251">
        <f>G529-G532</f>
        <v>3.7439755351681958</v>
      </c>
      <c r="H531" s="57"/>
      <c r="I531" s="298" t="s">
        <v>338</v>
      </c>
      <c r="J531" s="299">
        <f>IF(J529=0,0,IF(ISBLANK(J529),0,J529-J530))</f>
        <v>50</v>
      </c>
      <c r="K531" s="57"/>
      <c r="L531" s="57"/>
      <c r="M531" s="58"/>
      <c r="N531" s="58"/>
      <c r="O531" s="58"/>
      <c r="P531" s="58"/>
      <c r="Q531" s="58"/>
    </row>
    <row r="532" spans="1:17">
      <c r="A532" s="75"/>
      <c r="B532" s="2260"/>
      <c r="C532" s="306" t="s">
        <v>340</v>
      </c>
      <c r="D532" s="2261">
        <f>IF(D529=0,0,IF(ISBLANK(D529),0,(D531/D529)*100))</f>
        <v>63.472952348651859</v>
      </c>
      <c r="E532" s="57"/>
      <c r="F532" s="307" t="s">
        <v>338</v>
      </c>
      <c r="G532" s="2262">
        <f>(G529/(100+G530)*100)</f>
        <v>5.8960244648318048</v>
      </c>
      <c r="H532" s="57"/>
      <c r="I532" s="306" t="s">
        <v>340</v>
      </c>
      <c r="J532" s="2263">
        <f>IF(J531=0,0,IF(ISBLANK(J530),0,(J530/J531)*100))</f>
        <v>100</v>
      </c>
      <c r="K532" s="57"/>
      <c r="L532" s="57"/>
      <c r="M532" s="58"/>
      <c r="N532" s="58"/>
      <c r="O532" s="58"/>
      <c r="P532" s="58"/>
      <c r="Q532" s="58"/>
    </row>
    <row r="533" spans="1:17">
      <c r="A533" s="75"/>
      <c r="B533" s="2872" t="s">
        <v>219</v>
      </c>
      <c r="C533" s="2873"/>
      <c r="D533" s="2873"/>
      <c r="E533" s="2873"/>
      <c r="F533" s="2873"/>
      <c r="G533" s="2873"/>
      <c r="H533" s="2873"/>
      <c r="I533" s="2873"/>
      <c r="J533" s="2873"/>
      <c r="K533" s="57"/>
      <c r="L533" s="57"/>
      <c r="M533" s="58"/>
      <c r="N533" s="58"/>
      <c r="O533" s="58"/>
      <c r="P533" s="58"/>
      <c r="Q533" s="58"/>
    </row>
    <row r="534" spans="1:17">
      <c r="A534" s="58"/>
      <c r="B534" s="2049"/>
      <c r="C534" s="2049"/>
      <c r="D534" s="2049"/>
      <c r="E534" s="2049"/>
      <c r="F534" s="2049"/>
      <c r="G534" s="2049"/>
      <c r="H534" s="57"/>
      <c r="I534" s="2047"/>
      <c r="J534" s="2047"/>
      <c r="K534" s="81"/>
      <c r="L534" s="81"/>
      <c r="M534" s="2047"/>
      <c r="N534" s="2047"/>
      <c r="O534" s="58"/>
      <c r="P534" s="58"/>
      <c r="Q534" s="57"/>
    </row>
    <row r="535" spans="1:17">
      <c r="A535" s="58"/>
      <c r="B535" s="2049"/>
      <c r="C535" s="2049"/>
      <c r="D535" s="2049"/>
      <c r="E535" s="2049"/>
      <c r="F535" s="2049"/>
      <c r="G535" s="2049"/>
      <c r="H535" s="57"/>
      <c r="I535" s="2047"/>
      <c r="J535" s="2047"/>
      <c r="K535" s="81"/>
      <c r="L535" s="81"/>
      <c r="M535" s="2047"/>
      <c r="N535" s="2047"/>
      <c r="O535" s="58"/>
      <c r="P535" s="58"/>
      <c r="Q535" s="57"/>
    </row>
    <row r="536" spans="1:17">
      <c r="A536" s="58"/>
      <c r="B536" s="1676">
        <v>15</v>
      </c>
      <c r="C536" s="1676">
        <v>15</v>
      </c>
      <c r="D536" s="1676">
        <v>15</v>
      </c>
      <c r="E536" s="1676">
        <v>15</v>
      </c>
      <c r="F536" s="1676">
        <v>15</v>
      </c>
      <c r="G536" s="1676">
        <v>15</v>
      </c>
      <c r="H536" s="1677" t="s">
        <v>475</v>
      </c>
      <c r="I536" s="1676">
        <v>15</v>
      </c>
      <c r="J536" s="1676">
        <v>15</v>
      </c>
      <c r="K536" s="1676">
        <v>15</v>
      </c>
      <c r="L536" s="1676">
        <v>15</v>
      </c>
      <c r="M536" s="1676">
        <v>15</v>
      </c>
      <c r="N536" s="1676">
        <v>15</v>
      </c>
      <c r="O536" s="1678" t="s">
        <v>475</v>
      </c>
      <c r="P536" s="58"/>
      <c r="Q536" s="57"/>
    </row>
    <row r="537" spans="1:17" ht="18">
      <c r="A537" s="58"/>
      <c r="B537" s="2264" t="s">
        <v>58</v>
      </c>
      <c r="C537" s="2265"/>
      <c r="D537" s="2265"/>
      <c r="E537" s="2265"/>
      <c r="F537" s="2265"/>
      <c r="G537" s="2266" t="s">
        <v>57</v>
      </c>
      <c r="H537" s="54"/>
      <c r="I537" s="2264" t="s">
        <v>476</v>
      </c>
      <c r="J537" s="2265"/>
      <c r="K537" s="2265"/>
      <c r="L537" s="2265"/>
      <c r="M537" s="2265"/>
      <c r="N537" s="2266" t="s">
        <v>57</v>
      </c>
      <c r="O537" s="54"/>
      <c r="P537" s="58"/>
      <c r="Q537" s="57"/>
    </row>
    <row r="538" spans="1:17" ht="15.75">
      <c r="A538" s="58"/>
      <c r="B538" s="1679" t="s">
        <v>54</v>
      </c>
      <c r="C538" s="2267">
        <v>1000</v>
      </c>
      <c r="D538" s="26" t="s">
        <v>54</v>
      </c>
      <c r="E538" s="2267">
        <v>1000</v>
      </c>
      <c r="F538" s="1679" t="s">
        <v>54</v>
      </c>
      <c r="G538" s="2267">
        <v>100</v>
      </c>
      <c r="H538" s="54"/>
      <c r="I538" s="1680" t="s">
        <v>54</v>
      </c>
      <c r="J538" s="2268">
        <v>1</v>
      </c>
      <c r="K538" s="26" t="s">
        <v>54</v>
      </c>
      <c r="L538" s="2268">
        <v>1</v>
      </c>
      <c r="M538" s="1679" t="s">
        <v>54</v>
      </c>
      <c r="N538" s="2268">
        <v>1</v>
      </c>
      <c r="O538" s="54"/>
      <c r="P538" s="58"/>
      <c r="Q538" s="57"/>
    </row>
    <row r="539" spans="1:17" ht="15.75">
      <c r="A539" s="58"/>
      <c r="B539" s="1681" t="s">
        <v>55</v>
      </c>
      <c r="C539" s="2269">
        <v>2000</v>
      </c>
      <c r="D539" s="25" t="s">
        <v>53</v>
      </c>
      <c r="E539" s="2269">
        <v>327</v>
      </c>
      <c r="F539" s="1681" t="s">
        <v>52</v>
      </c>
      <c r="G539" s="2270">
        <v>40</v>
      </c>
      <c r="H539" s="54"/>
      <c r="I539" s="1681" t="s">
        <v>55</v>
      </c>
      <c r="J539" s="2271">
        <v>2</v>
      </c>
      <c r="K539" s="25" t="s">
        <v>53</v>
      </c>
      <c r="L539" s="2271">
        <v>2</v>
      </c>
      <c r="M539" s="1681" t="s">
        <v>52</v>
      </c>
      <c r="N539" s="2270">
        <v>50</v>
      </c>
      <c r="O539" s="54"/>
      <c r="P539" s="58"/>
      <c r="Q539" s="57"/>
    </row>
    <row r="540" spans="1:17" ht="15.75">
      <c r="A540" s="58"/>
      <c r="B540" s="1682" t="s">
        <v>51</v>
      </c>
      <c r="C540" s="2272">
        <f>IF(C538=0,0,IF(C539=0,0,C539-C538))</f>
        <v>1000</v>
      </c>
      <c r="D540" s="1682" t="s">
        <v>56</v>
      </c>
      <c r="E540" s="2272">
        <f>IF(E538=0,0,E538+E539)</f>
        <v>1327</v>
      </c>
      <c r="F540" s="1682" t="s">
        <v>51</v>
      </c>
      <c r="G540" s="2273">
        <f>G541*G539%</f>
        <v>66.666666666666671</v>
      </c>
      <c r="H540" s="54"/>
      <c r="I540" s="1682" t="s">
        <v>51</v>
      </c>
      <c r="J540" s="2274">
        <f>IF(J538=0,0,IF(J539=0,0,J539-J538))</f>
        <v>1</v>
      </c>
      <c r="K540" s="1682" t="s">
        <v>56</v>
      </c>
      <c r="L540" s="2274">
        <f>IF(L538=0,0,L538+L539)</f>
        <v>3</v>
      </c>
      <c r="M540" s="1682" t="s">
        <v>51</v>
      </c>
      <c r="N540" s="2274">
        <f>N541*N539%</f>
        <v>1</v>
      </c>
      <c r="O540" s="54"/>
      <c r="P540" s="58"/>
      <c r="Q540" s="57"/>
    </row>
    <row r="541" spans="1:17" ht="15.75">
      <c r="A541" s="58"/>
      <c r="B541" s="2275" t="s">
        <v>50</v>
      </c>
      <c r="C541" s="2276">
        <f>IF(C538=0,0,IF(C539=0,0,C540/C539))</f>
        <v>0.5</v>
      </c>
      <c r="D541" s="2275" t="s">
        <v>50</v>
      </c>
      <c r="E541" s="2276">
        <f>IF(E538=0,0,E539/E540)</f>
        <v>0.24642049736247174</v>
      </c>
      <c r="F541" s="1682" t="s">
        <v>56</v>
      </c>
      <c r="G541" s="2273">
        <f>G538/(100-G539)*100</f>
        <v>166.66666666666669</v>
      </c>
      <c r="H541" s="54"/>
      <c r="I541" s="2275" t="s">
        <v>50</v>
      </c>
      <c r="J541" s="2276">
        <f>IF(J538=0,0,IF(J539=0,0,J540/J539))</f>
        <v>0.5</v>
      </c>
      <c r="K541" s="2275" t="s">
        <v>50</v>
      </c>
      <c r="L541" s="2276">
        <f>IF(L538=0,0,L539/L540)</f>
        <v>0.66666666666666663</v>
      </c>
      <c r="M541" s="1682" t="s">
        <v>56</v>
      </c>
      <c r="N541" s="2277">
        <f>N538/(100-N539)*100</f>
        <v>2</v>
      </c>
      <c r="O541" s="54"/>
      <c r="P541" s="58"/>
      <c r="Q541" s="57"/>
    </row>
    <row r="542" spans="1:17" ht="15.75">
      <c r="A542" s="58"/>
      <c r="B542" s="1683" t="s">
        <v>55</v>
      </c>
      <c r="C542" s="2269">
        <v>1780</v>
      </c>
      <c r="D542" s="24" t="s">
        <v>55</v>
      </c>
      <c r="E542" s="2269">
        <v>2310</v>
      </c>
      <c r="F542" s="1684" t="s">
        <v>55</v>
      </c>
      <c r="G542" s="1685">
        <v>500</v>
      </c>
      <c r="H542" s="54"/>
      <c r="I542" s="1683" t="s">
        <v>55</v>
      </c>
      <c r="J542" s="2278">
        <v>2</v>
      </c>
      <c r="K542" s="24" t="s">
        <v>55</v>
      </c>
      <c r="L542" s="1686">
        <v>2</v>
      </c>
      <c r="M542" s="24" t="s">
        <v>55</v>
      </c>
      <c r="N542" s="2278">
        <v>1</v>
      </c>
      <c r="O542" s="54"/>
      <c r="P542" s="58"/>
      <c r="Q542" s="57"/>
    </row>
    <row r="543" spans="1:17" ht="15.75">
      <c r="A543" s="58"/>
      <c r="B543" s="1687" t="s">
        <v>54</v>
      </c>
      <c r="C543" s="2267">
        <v>1000</v>
      </c>
      <c r="D543" s="23" t="s">
        <v>53</v>
      </c>
      <c r="E543" s="2267">
        <v>720</v>
      </c>
      <c r="F543" s="23" t="s">
        <v>52</v>
      </c>
      <c r="G543" s="2279">
        <v>50</v>
      </c>
      <c r="H543" s="54"/>
      <c r="I543" s="1687" t="s">
        <v>54</v>
      </c>
      <c r="J543" s="2280">
        <v>1</v>
      </c>
      <c r="K543" s="23" t="s">
        <v>53</v>
      </c>
      <c r="L543" s="2280">
        <v>1</v>
      </c>
      <c r="M543" s="23" t="s">
        <v>52</v>
      </c>
      <c r="N543" s="2279">
        <v>50</v>
      </c>
      <c r="O543" s="54"/>
      <c r="P543" s="58"/>
      <c r="Q543" s="57"/>
    </row>
    <row r="544" spans="1:17" ht="15.75">
      <c r="A544" s="58"/>
      <c r="B544" s="1682" t="s">
        <v>51</v>
      </c>
      <c r="C544" s="2272">
        <f>IF(C542=0,0,IF(C543=0,0,C542-C543))</f>
        <v>780</v>
      </c>
      <c r="D544" s="1682" t="s">
        <v>49</v>
      </c>
      <c r="E544" s="2272">
        <f>IF(E542=0,0,IF(E543=0,0,E542-E543))</f>
        <v>1590</v>
      </c>
      <c r="F544" s="1682" t="s">
        <v>51</v>
      </c>
      <c r="G544" s="2272">
        <f>G542*G543%</f>
        <v>250</v>
      </c>
      <c r="H544" s="54"/>
      <c r="I544" s="1682" t="s">
        <v>51</v>
      </c>
      <c r="J544" s="2274">
        <f>IF(J542=0,0,IF(J543=0,0,J542-J543))</f>
        <v>1</v>
      </c>
      <c r="K544" s="1682" t="s">
        <v>49</v>
      </c>
      <c r="L544" s="2274">
        <f>IF(L542=0,0,IF(L543=0,0,L542-L543))</f>
        <v>1</v>
      </c>
      <c r="M544" s="1682" t="s">
        <v>51</v>
      </c>
      <c r="N544" s="2274">
        <f>N542*N543%</f>
        <v>0.5</v>
      </c>
      <c r="O544" s="54"/>
      <c r="P544" s="58"/>
      <c r="Q544" s="57"/>
    </row>
    <row r="545" spans="1:17" ht="15.75">
      <c r="A545" s="58"/>
      <c r="B545" s="2275" t="s">
        <v>50</v>
      </c>
      <c r="C545" s="2276">
        <f>IF(C542=0,0,C544/C542)</f>
        <v>0.43820224719101125</v>
      </c>
      <c r="D545" s="2275" t="s">
        <v>50</v>
      </c>
      <c r="E545" s="2276">
        <f>IF(E542=0,0,IF(E543=0,0,E543/E542))</f>
        <v>0.31168831168831168</v>
      </c>
      <c r="F545" s="2275" t="s">
        <v>49</v>
      </c>
      <c r="G545" s="2281">
        <f>G542-G544</f>
        <v>250</v>
      </c>
      <c r="H545" s="54"/>
      <c r="I545" s="2275" t="s">
        <v>50</v>
      </c>
      <c r="J545" s="2276">
        <f>IF(J542=0,0,J544/J542)</f>
        <v>0.5</v>
      </c>
      <c r="K545" s="2275" t="s">
        <v>50</v>
      </c>
      <c r="L545" s="2276">
        <f>IF(L542=0,0,IF(L543=0,0,L543/L542))</f>
        <v>0.5</v>
      </c>
      <c r="M545" s="2275" t="s">
        <v>49</v>
      </c>
      <c r="N545" s="2282">
        <f>N542-N544</f>
        <v>0.5</v>
      </c>
      <c r="O545" s="54"/>
      <c r="P545" s="58"/>
      <c r="Q545" s="57"/>
    </row>
    <row r="546" spans="1:17">
      <c r="A546" s="58"/>
      <c r="B546" s="2874" t="s">
        <v>219</v>
      </c>
      <c r="C546" s="2875"/>
      <c r="D546" s="2875"/>
      <c r="E546" s="2875"/>
      <c r="F546" s="2875"/>
      <c r="G546" s="2875"/>
      <c r="H546" s="54"/>
      <c r="I546" s="2874" t="s">
        <v>219</v>
      </c>
      <c r="J546" s="2875"/>
      <c r="K546" s="2875"/>
      <c r="L546" s="2875"/>
      <c r="M546" s="2875"/>
      <c r="N546" s="2875"/>
      <c r="O546" s="54"/>
      <c r="P546" s="58"/>
      <c r="Q546" s="57"/>
    </row>
    <row r="547" spans="1:17">
      <c r="A547" s="58"/>
      <c r="B547" s="2049"/>
      <c r="C547" s="2049"/>
      <c r="D547" s="2049"/>
      <c r="E547" s="2049"/>
      <c r="F547" s="2049"/>
      <c r="G547" s="2049"/>
      <c r="H547" s="57"/>
      <c r="I547" s="2047"/>
      <c r="J547" s="2047"/>
      <c r="K547" s="81"/>
      <c r="L547" s="81"/>
      <c r="M547" s="2047"/>
      <c r="N547" s="2047"/>
      <c r="O547" s="58"/>
      <c r="P547" s="58"/>
      <c r="Q547" s="57"/>
    </row>
    <row r="548" spans="1:17">
      <c r="A548" s="1647"/>
      <c r="B548" s="1648"/>
      <c r="C548" s="1649"/>
      <c r="D548" s="1649"/>
      <c r="E548" s="1649"/>
      <c r="F548" s="1649"/>
      <c r="G548" s="1649"/>
      <c r="H548" s="1649"/>
      <c r="I548" s="1649"/>
      <c r="J548" s="1648"/>
      <c r="K548" s="1648"/>
      <c r="L548" s="1648"/>
      <c r="M548" s="1647"/>
      <c r="N548" s="1647"/>
      <c r="O548" s="1647"/>
      <c r="P548" s="1647"/>
      <c r="Q548" s="1647"/>
    </row>
    <row r="549" spans="1:17">
      <c r="A549" s="58"/>
      <c r="B549" s="2049"/>
      <c r="C549" s="2049"/>
      <c r="D549" s="2049"/>
      <c r="E549" s="2049"/>
      <c r="F549" s="2049"/>
      <c r="G549" s="2049"/>
      <c r="H549" s="57"/>
      <c r="I549" s="2047"/>
      <c r="J549" s="2047"/>
      <c r="K549" s="81"/>
      <c r="L549" s="81"/>
      <c r="M549" s="2047"/>
      <c r="N549" s="2047"/>
      <c r="O549" s="58"/>
      <c r="P549" s="58"/>
      <c r="Q549" s="57"/>
    </row>
    <row r="550" spans="1:17">
      <c r="A550" s="58"/>
      <c r="B550" s="2049"/>
      <c r="C550" s="2049"/>
      <c r="D550" s="2049"/>
      <c r="E550" s="2049"/>
      <c r="F550" s="2049"/>
      <c r="G550" s="2049"/>
      <c r="H550" s="57"/>
      <c r="I550" s="2047"/>
      <c r="J550" s="2047"/>
      <c r="K550" s="81"/>
      <c r="L550" s="81"/>
      <c r="M550" s="2047"/>
      <c r="N550" s="2047"/>
      <c r="O550" s="58"/>
      <c r="P550" s="58"/>
      <c r="Q550" s="57"/>
    </row>
    <row r="551" spans="1:17" ht="15.75">
      <c r="A551" s="58"/>
      <c r="B551" s="2049"/>
      <c r="C551" s="2049"/>
      <c r="D551" s="2049"/>
      <c r="E551" s="2049"/>
      <c r="F551" s="2049"/>
      <c r="G551" s="2049"/>
      <c r="H551" s="57"/>
      <c r="I551" s="2047"/>
      <c r="J551" s="666" t="s">
        <v>664</v>
      </c>
      <c r="K551" s="667"/>
      <c r="L551" s="667"/>
      <c r="M551" s="668"/>
      <c r="N551" s="668"/>
      <c r="O551" s="58"/>
      <c r="P551" s="58"/>
      <c r="Q551" s="57"/>
    </row>
    <row r="552" spans="1:17">
      <c r="A552" s="58"/>
      <c r="B552" s="2049"/>
      <c r="C552" s="2049"/>
      <c r="D552" s="2049"/>
      <c r="E552" s="2049"/>
      <c r="F552" s="2049"/>
      <c r="G552" s="2049"/>
      <c r="H552" s="57"/>
      <c r="I552" s="2047"/>
      <c r="J552" s="2047"/>
      <c r="K552" s="81"/>
      <c r="L552" s="81"/>
      <c r="M552" s="2047"/>
      <c r="N552" s="2047"/>
      <c r="O552" s="58"/>
      <c r="P552" s="58"/>
      <c r="Q552" s="57"/>
    </row>
    <row r="553" spans="1:17" ht="21">
      <c r="A553" s="58"/>
      <c r="B553" s="2049"/>
      <c r="C553" s="2049"/>
      <c r="D553" s="2049"/>
      <c r="E553" s="2049"/>
      <c r="F553" s="2049"/>
      <c r="G553" s="2049"/>
      <c r="H553" s="57"/>
      <c r="I553" s="2047"/>
      <c r="J553" s="659" t="s">
        <v>581</v>
      </c>
      <c r="K553" s="58"/>
      <c r="L553" s="58"/>
      <c r="M553" s="58"/>
      <c r="N553" s="58"/>
      <c r="O553" s="58"/>
      <c r="P553" s="58"/>
      <c r="Q553" s="57"/>
    </row>
    <row r="554" spans="1:17" ht="23.25">
      <c r="A554" s="58"/>
      <c r="B554" s="2049"/>
      <c r="C554" s="2049"/>
      <c r="D554" s="2049"/>
      <c r="E554" s="2049"/>
      <c r="F554" s="2049"/>
      <c r="G554" s="2049"/>
      <c r="H554" s="57"/>
      <c r="I554" s="2047"/>
      <c r="J554" s="2876" t="s">
        <v>580</v>
      </c>
      <c r="K554" s="2876"/>
      <c r="L554" s="2876"/>
      <c r="M554" s="2876"/>
      <c r="N554" s="2876"/>
      <c r="O554" s="58"/>
      <c r="P554" s="58"/>
      <c r="Q554" s="57"/>
    </row>
    <row r="555" spans="1:17" ht="21">
      <c r="A555" s="58"/>
      <c r="B555" s="2049"/>
      <c r="C555" s="2049"/>
      <c r="D555" s="2049"/>
      <c r="E555" s="2049"/>
      <c r="F555" s="2049"/>
      <c r="G555" s="2049"/>
      <c r="H555" s="57"/>
      <c r="I555" s="2047"/>
      <c r="J555" s="671"/>
      <c r="K555" s="672" t="s">
        <v>643</v>
      </c>
      <c r="L555" s="669"/>
      <c r="M555" s="670"/>
      <c r="N555" s="2047"/>
      <c r="O555" s="58"/>
      <c r="P555" s="58"/>
      <c r="Q555" s="57"/>
    </row>
    <row r="556" spans="1:17" ht="21">
      <c r="A556" s="58"/>
      <c r="B556" s="2049"/>
      <c r="C556" s="2049"/>
      <c r="D556" s="2049"/>
      <c r="E556" s="2049"/>
      <c r="F556" s="2049"/>
      <c r="G556" s="2049"/>
      <c r="H556" s="57"/>
      <c r="I556" s="2047"/>
      <c r="J556" s="671"/>
      <c r="K556" s="672" t="s">
        <v>624</v>
      </c>
      <c r="L556" s="669"/>
      <c r="M556" s="670"/>
      <c r="N556" s="2047"/>
      <c r="O556" s="58"/>
      <c r="P556" s="58"/>
      <c r="Q556" s="57"/>
    </row>
    <row r="557" spans="1:17" ht="21">
      <c r="A557" s="58"/>
      <c r="B557" s="2049"/>
      <c r="C557" s="2049"/>
      <c r="D557" s="2049"/>
      <c r="E557" s="2049"/>
      <c r="F557" s="2049"/>
      <c r="G557" s="2049"/>
      <c r="H557" s="57"/>
      <c r="I557" s="2047"/>
      <c r="J557" s="671"/>
      <c r="K557" s="672" t="s">
        <v>652</v>
      </c>
      <c r="L557" s="669"/>
      <c r="M557" s="670"/>
      <c r="N557" s="2047"/>
      <c r="O557" s="58"/>
      <c r="P557" s="58"/>
      <c r="Q557" s="57"/>
    </row>
    <row r="558" spans="1:17" ht="21">
      <c r="A558" s="58"/>
      <c r="B558" s="662" t="s">
        <v>622</v>
      </c>
      <c r="C558" s="2049"/>
      <c r="D558" s="2049"/>
      <c r="E558" s="2049"/>
      <c r="F558" s="2049"/>
      <c r="G558" s="2049"/>
      <c r="H558" s="57"/>
      <c r="I558" s="2047"/>
      <c r="J558" s="671"/>
      <c r="K558" s="672" t="s">
        <v>641</v>
      </c>
      <c r="L558" s="669"/>
      <c r="M558" s="670"/>
      <c r="N558" s="2047"/>
      <c r="O558" s="58"/>
      <c r="P558" s="58"/>
      <c r="Q558" s="57"/>
    </row>
    <row r="559" spans="1:17" ht="21">
      <c r="A559" s="58"/>
      <c r="B559" s="662" t="s">
        <v>623</v>
      </c>
      <c r="C559" s="2049"/>
      <c r="D559" s="2049"/>
      <c r="E559" s="2049"/>
      <c r="F559" s="2049"/>
      <c r="G559" s="2049"/>
      <c r="H559" s="57"/>
      <c r="I559" s="2047"/>
      <c r="J559" s="671"/>
      <c r="K559" s="672" t="s">
        <v>642</v>
      </c>
      <c r="L559" s="669"/>
      <c r="M559" s="670"/>
      <c r="N559" s="2047"/>
      <c r="O559" s="58"/>
      <c r="P559" s="58"/>
      <c r="Q559" s="57"/>
    </row>
    <row r="560" spans="1:17" ht="21">
      <c r="A560" s="58"/>
      <c r="B560" s="2049"/>
      <c r="C560" s="2049"/>
      <c r="D560" s="2049"/>
      <c r="E560" s="2049"/>
      <c r="F560" s="2049"/>
      <c r="G560" s="2049"/>
      <c r="H560" s="57"/>
      <c r="I560" s="2047"/>
      <c r="J560" s="671"/>
      <c r="K560" s="672" t="s">
        <v>644</v>
      </c>
      <c r="L560" s="669"/>
      <c r="M560" s="670"/>
      <c r="N560" s="2047"/>
      <c r="O560" s="58"/>
      <c r="P560" s="58"/>
      <c r="Q560" s="57"/>
    </row>
    <row r="561" spans="1:17" ht="21">
      <c r="A561" s="58"/>
      <c r="B561" s="699" t="s">
        <v>675</v>
      </c>
      <c r="C561" s="54"/>
      <c r="D561" s="54"/>
      <c r="E561" s="54"/>
      <c r="F561" s="2049"/>
      <c r="G561" s="2049"/>
      <c r="H561" s="57"/>
      <c r="I561" s="2047"/>
      <c r="J561" s="671"/>
      <c r="K561" s="672" t="s">
        <v>645</v>
      </c>
      <c r="L561" s="669"/>
      <c r="M561" s="670"/>
      <c r="N561" s="2047"/>
      <c r="O561" s="58"/>
      <c r="P561" s="58"/>
      <c r="Q561" s="57"/>
    </row>
    <row r="562" spans="1:17">
      <c r="A562" s="58"/>
      <c r="B562" s="700" t="s">
        <v>676</v>
      </c>
      <c r="C562" s="54"/>
      <c r="D562" s="54"/>
      <c r="E562" s="54"/>
      <c r="F562" s="2049"/>
      <c r="G562" s="2049"/>
      <c r="H562" s="57"/>
      <c r="I562" s="2047"/>
      <c r="J562" s="2047"/>
      <c r="K562" s="81"/>
      <c r="L562" s="81"/>
      <c r="M562" s="2047"/>
      <c r="N562" s="2047"/>
      <c r="O562" s="58"/>
      <c r="P562" s="58"/>
      <c r="Q562" s="57"/>
    </row>
    <row r="563" spans="1:17" ht="31.5" customHeight="1" thickBot="1">
      <c r="A563" s="58"/>
      <c r="B563" s="662"/>
      <c r="C563" s="660"/>
      <c r="D563" s="660"/>
      <c r="E563" s="660"/>
      <c r="F563" s="2049"/>
      <c r="G563" s="2049"/>
      <c r="H563" s="57"/>
      <c r="I563" s="2047"/>
      <c r="J563" s="699"/>
      <c r="K563" s="81"/>
      <c r="L563" s="81"/>
      <c r="O563" s="58"/>
      <c r="P563" s="58"/>
      <c r="Q563" s="57"/>
    </row>
    <row r="564" spans="1:17" ht="16.5" customHeight="1" thickBot="1">
      <c r="A564" s="58"/>
      <c r="B564" s="661"/>
      <c r="C564" s="54"/>
      <c r="D564" s="54"/>
      <c r="E564" s="54"/>
      <c r="F564" s="2049"/>
      <c r="G564" s="2049"/>
      <c r="H564" s="57"/>
      <c r="I564" s="2047"/>
      <c r="J564" s="700"/>
      <c r="K564" s="81"/>
      <c r="L564" s="81"/>
      <c r="M564" s="2877" t="s">
        <v>655</v>
      </c>
      <c r="N564" s="2878"/>
      <c r="O564" s="58"/>
      <c r="P564" s="58"/>
      <c r="Q564" s="57"/>
    </row>
    <row r="565" spans="1:17" ht="15.75">
      <c r="A565" s="58"/>
      <c r="B565" s="663" t="s">
        <v>627</v>
      </c>
      <c r="C565" s="54"/>
      <c r="D565" s="54"/>
      <c r="E565" s="54"/>
      <c r="F565" s="2049"/>
      <c r="G565" s="2860" t="s">
        <v>665</v>
      </c>
      <c r="H565" s="2861"/>
      <c r="I565" s="2047"/>
      <c r="J565" s="661"/>
      <c r="K565" s="661"/>
      <c r="L565" s="81"/>
      <c r="M565" s="2879" t="s">
        <v>656</v>
      </c>
      <c r="N565" s="2880"/>
      <c r="O565" s="58"/>
      <c r="P565" s="58"/>
      <c r="Q565" s="57"/>
    </row>
    <row r="566" spans="1:17" ht="15.75">
      <c r="A566" s="58"/>
      <c r="B566" s="664" t="s">
        <v>665</v>
      </c>
      <c r="C566" s="54"/>
      <c r="D566" s="54"/>
      <c r="E566" s="54" t="s">
        <v>700</v>
      </c>
      <c r="F566" s="2049"/>
      <c r="G566" s="2862"/>
      <c r="H566" s="2863"/>
      <c r="I566" s="2047"/>
      <c r="J566" s="661" t="s">
        <v>655</v>
      </c>
      <c r="K566" s="661"/>
      <c r="L566" s="81"/>
      <c r="M566" s="792" t="s">
        <v>55</v>
      </c>
      <c r="N566" s="793">
        <v>140</v>
      </c>
      <c r="O566" s="58"/>
      <c r="P566" s="58"/>
      <c r="Q566" s="57"/>
    </row>
    <row r="567" spans="1:17" ht="15.75" customHeight="1">
      <c r="A567" s="58"/>
      <c r="B567" s="661" t="s">
        <v>628</v>
      </c>
      <c r="C567" s="54"/>
      <c r="D567" s="54"/>
      <c r="E567" s="54"/>
      <c r="F567" s="2049"/>
      <c r="G567" s="802" t="s">
        <v>55</v>
      </c>
      <c r="H567" s="803">
        <v>87</v>
      </c>
      <c r="I567" s="2047"/>
      <c r="J567" s="661" t="s">
        <v>656</v>
      </c>
      <c r="K567" s="661"/>
      <c r="L567" s="81"/>
      <c r="M567" s="794" t="s">
        <v>52</v>
      </c>
      <c r="N567" s="795">
        <v>20</v>
      </c>
      <c r="O567" s="58"/>
      <c r="P567" s="54"/>
      <c r="Q567" s="54"/>
    </row>
    <row r="568" spans="1:17" ht="15.75">
      <c r="A568" s="58"/>
      <c r="B568" s="661" t="s">
        <v>630</v>
      </c>
      <c r="C568" s="54"/>
      <c r="D568" s="54"/>
      <c r="E568" s="54"/>
      <c r="F568" s="2049"/>
      <c r="G568" s="804" t="s">
        <v>52</v>
      </c>
      <c r="H568" s="805">
        <v>5</v>
      </c>
      <c r="I568" s="2047"/>
      <c r="J568" s="661" t="s">
        <v>657</v>
      </c>
      <c r="K568" s="661"/>
      <c r="L568" s="81"/>
      <c r="M568" s="796" t="s">
        <v>51</v>
      </c>
      <c r="N568" s="797">
        <f>(N566*N567)/100</f>
        <v>28</v>
      </c>
      <c r="O568" s="58"/>
      <c r="P568" s="54"/>
      <c r="Q568" s="54"/>
    </row>
    <row r="569" spans="1:17" ht="15.75">
      <c r="A569" s="58"/>
      <c r="B569" s="663" t="s">
        <v>637</v>
      </c>
      <c r="C569" s="54"/>
      <c r="D569" s="54"/>
      <c r="E569" s="54"/>
      <c r="F569" s="2049"/>
      <c r="G569" s="798" t="s">
        <v>701</v>
      </c>
      <c r="H569" s="799">
        <f>H568/100</f>
        <v>0.05</v>
      </c>
      <c r="I569" s="2047"/>
      <c r="J569" s="663" t="s">
        <v>658</v>
      </c>
      <c r="K569" s="661"/>
      <c r="L569" s="81"/>
      <c r="M569" s="796" t="s">
        <v>701</v>
      </c>
      <c r="N569" s="806">
        <f>N567/100</f>
        <v>0.2</v>
      </c>
      <c r="O569" s="58"/>
      <c r="P569" s="54"/>
      <c r="Q569" s="54"/>
    </row>
    <row r="570" spans="1:17" ht="16.5" thickBot="1">
      <c r="A570" s="58"/>
      <c r="B570" s="661" t="s">
        <v>631</v>
      </c>
      <c r="C570" s="54"/>
      <c r="D570" s="54"/>
      <c r="E570" s="54"/>
      <c r="F570" s="2049"/>
      <c r="G570" s="800" t="s">
        <v>51</v>
      </c>
      <c r="H570" s="801">
        <f>H567*H569</f>
        <v>4.3500000000000005</v>
      </c>
      <c r="I570" s="2047"/>
      <c r="J570" s="661" t="s">
        <v>659</v>
      </c>
      <c r="K570" s="661"/>
      <c r="L570" s="81"/>
      <c r="M570" s="798" t="s">
        <v>51</v>
      </c>
      <c r="N570" s="810">
        <f>N566*N569</f>
        <v>28</v>
      </c>
      <c r="O570" s="54"/>
      <c r="P570" s="54"/>
      <c r="Q570" s="54"/>
    </row>
    <row r="571" spans="1:17" ht="16.5" thickBot="1">
      <c r="A571" s="58"/>
      <c r="B571" s="661" t="s">
        <v>629</v>
      </c>
      <c r="C571" s="54"/>
      <c r="D571" s="54"/>
      <c r="E571" s="54"/>
      <c r="F571" s="2049"/>
      <c r="G571" s="2049"/>
      <c r="H571" s="57"/>
      <c r="I571" s="2047"/>
      <c r="J571" s="663" t="s">
        <v>660</v>
      </c>
      <c r="K571" s="661"/>
      <c r="L571" s="81"/>
      <c r="M571" s="2858" t="s">
        <v>658</v>
      </c>
      <c r="N571" s="2859"/>
      <c r="O571" s="54"/>
      <c r="P571" s="54"/>
      <c r="Q571" s="54"/>
    </row>
    <row r="572" spans="1:17" ht="15.75">
      <c r="A572" s="58"/>
      <c r="B572" s="663" t="s">
        <v>639</v>
      </c>
      <c r="C572" s="54"/>
      <c r="D572" s="54"/>
      <c r="E572" s="54"/>
      <c r="F572" s="2049"/>
      <c r="G572" s="2860" t="s">
        <v>666</v>
      </c>
      <c r="H572" s="2861"/>
      <c r="I572" s="2047"/>
      <c r="J572" s="661" t="s">
        <v>661</v>
      </c>
      <c r="K572" s="661"/>
      <c r="L572" s="81"/>
      <c r="M572" s="2864" t="s">
        <v>659</v>
      </c>
      <c r="N572" s="2865"/>
      <c r="O572" s="54"/>
      <c r="P572" s="54"/>
      <c r="Q572" s="54"/>
    </row>
    <row r="573" spans="1:17" ht="15.75">
      <c r="A573" s="58"/>
      <c r="B573" s="661"/>
      <c r="C573" s="54"/>
      <c r="D573" s="54"/>
      <c r="E573" s="54"/>
      <c r="F573" s="2049"/>
      <c r="G573" s="2862"/>
      <c r="H573" s="2863"/>
      <c r="I573" s="2047"/>
      <c r="J573" s="663" t="s">
        <v>591</v>
      </c>
      <c r="K573" s="661"/>
      <c r="L573" s="81"/>
      <c r="M573" s="807">
        <f>N569</f>
        <v>0.2</v>
      </c>
      <c r="N573" s="808">
        <f>N566*M573</f>
        <v>28</v>
      </c>
      <c r="O573" s="716" t="s">
        <v>2</v>
      </c>
      <c r="P573" s="54"/>
      <c r="Q573" s="54"/>
    </row>
    <row r="574" spans="1:17" ht="15.75">
      <c r="A574" s="58"/>
      <c r="B574" s="664" t="s">
        <v>666</v>
      </c>
      <c r="C574" s="54"/>
      <c r="D574" s="54"/>
      <c r="E574" s="54"/>
      <c r="F574" s="2049"/>
      <c r="G574" s="802" t="s">
        <v>55</v>
      </c>
      <c r="H574" s="1688">
        <v>87</v>
      </c>
      <c r="I574" s="2047"/>
      <c r="J574" s="661"/>
      <c r="K574" s="661"/>
      <c r="L574" s="81"/>
      <c r="M574" s="2866" t="s">
        <v>660</v>
      </c>
      <c r="N574" s="2867"/>
      <c r="O574" s="58"/>
      <c r="P574" s="54"/>
      <c r="Q574" s="54"/>
    </row>
    <row r="575" spans="1:17" ht="15.75">
      <c r="A575" s="58"/>
      <c r="B575" s="661" t="s">
        <v>632</v>
      </c>
      <c r="C575" s="54"/>
      <c r="D575" s="54"/>
      <c r="E575" s="54"/>
      <c r="F575" s="2049"/>
      <c r="G575" s="804" t="s">
        <v>52</v>
      </c>
      <c r="H575" s="805">
        <v>5</v>
      </c>
      <c r="I575" s="2047"/>
      <c r="J575" s="54"/>
      <c r="K575" s="661"/>
      <c r="L575" s="81"/>
      <c r="M575" s="681" t="s">
        <v>661</v>
      </c>
      <c r="N575" s="2"/>
      <c r="O575" s="58"/>
      <c r="P575" s="54"/>
      <c r="Q575" s="54"/>
    </row>
    <row r="576" spans="1:17" ht="15.75">
      <c r="A576" s="58"/>
      <c r="B576" s="663" t="s">
        <v>633</v>
      </c>
      <c r="C576" s="54"/>
      <c r="D576" s="54"/>
      <c r="E576" s="54"/>
      <c r="F576" s="2049"/>
      <c r="G576" s="798" t="s">
        <v>701</v>
      </c>
      <c r="H576" s="799">
        <f>(100-H575)/100</f>
        <v>0.95</v>
      </c>
      <c r="I576" s="2047"/>
      <c r="J576" s="54"/>
      <c r="K576" s="661"/>
      <c r="L576" s="81"/>
      <c r="M576" s="811" t="s">
        <v>52</v>
      </c>
      <c r="N576" s="812">
        <v>40</v>
      </c>
      <c r="O576" s="58"/>
      <c r="P576" s="54"/>
      <c r="Q576" s="54"/>
    </row>
    <row r="577" spans="1:17" ht="16.5" thickBot="1">
      <c r="A577" s="58"/>
      <c r="B577" s="661" t="s">
        <v>634</v>
      </c>
      <c r="C577" s="54"/>
      <c r="D577" s="54"/>
      <c r="E577" s="54"/>
      <c r="F577" s="2049"/>
      <c r="G577" s="800" t="s">
        <v>49</v>
      </c>
      <c r="H577" s="801">
        <f>H574*H576</f>
        <v>82.649999999999991</v>
      </c>
      <c r="I577" s="2047"/>
      <c r="J577" s="54"/>
      <c r="K577" s="661"/>
      <c r="L577" s="81"/>
      <c r="M577" s="807">
        <f>N576/100</f>
        <v>0.4</v>
      </c>
      <c r="N577" s="808">
        <f>N566*M577</f>
        <v>56</v>
      </c>
      <c r="O577" s="58"/>
      <c r="P577" s="54"/>
      <c r="Q577" s="54"/>
    </row>
    <row r="578" spans="1:17" ht="15.75">
      <c r="A578" s="58"/>
      <c r="B578" s="663" t="s">
        <v>638</v>
      </c>
      <c r="C578" s="54"/>
      <c r="D578" s="54"/>
      <c r="E578" s="54"/>
      <c r="F578" s="2049"/>
      <c r="G578" s="2049"/>
      <c r="H578" s="57"/>
      <c r="I578" s="2047"/>
      <c r="J578" s="54"/>
      <c r="K578" s="661"/>
      <c r="L578" s="81"/>
      <c r="M578" s="811" t="s">
        <v>52</v>
      </c>
      <c r="N578" s="812">
        <v>90</v>
      </c>
      <c r="O578" s="58"/>
      <c r="P578" s="54"/>
      <c r="Q578" s="54"/>
    </row>
    <row r="579" spans="1:17" ht="15.75">
      <c r="A579" s="58"/>
      <c r="B579" s="661" t="s">
        <v>635</v>
      </c>
      <c r="C579" s="54"/>
      <c r="D579" s="54"/>
      <c r="E579" s="54"/>
      <c r="F579" s="2049"/>
      <c r="G579" s="2049"/>
      <c r="H579" s="57"/>
      <c r="I579" s="2047"/>
      <c r="J579" s="54"/>
      <c r="K579" s="661"/>
      <c r="L579" s="81"/>
      <c r="M579" s="2864" t="s">
        <v>591</v>
      </c>
      <c r="N579" s="2865"/>
      <c r="O579" s="58"/>
      <c r="P579" s="54"/>
      <c r="Q579" s="54"/>
    </row>
    <row r="580" spans="1:17" ht="16.5" thickBot="1">
      <c r="A580" s="58"/>
      <c r="B580" s="661"/>
      <c r="C580" s="54"/>
      <c r="D580" s="54"/>
      <c r="E580" s="54"/>
      <c r="F580" s="2049"/>
      <c r="G580" s="2049"/>
      <c r="H580" s="57"/>
      <c r="I580" s="2047"/>
      <c r="J580" s="54"/>
      <c r="K580" s="661"/>
      <c r="L580" s="81"/>
      <c r="M580" s="813">
        <f>N578/100</f>
        <v>0.9</v>
      </c>
      <c r="N580" s="809">
        <f>N566*M580</f>
        <v>126</v>
      </c>
      <c r="O580" s="58"/>
      <c r="P580" s="54"/>
      <c r="Q580" s="54"/>
    </row>
    <row r="581" spans="1:17" ht="15.75">
      <c r="A581" s="58"/>
      <c r="B581" s="661" t="s">
        <v>662</v>
      </c>
      <c r="C581" s="661"/>
      <c r="D581" s="81"/>
      <c r="E581" s="661"/>
      <c r="F581" s="661"/>
      <c r="G581" s="2868" t="s">
        <v>662</v>
      </c>
      <c r="H581" s="2869"/>
      <c r="I581" s="2047"/>
      <c r="J581" s="661"/>
      <c r="K581" s="661"/>
      <c r="L581" s="661"/>
      <c r="M581" s="661"/>
      <c r="N581" s="661"/>
      <c r="O581" s="58"/>
      <c r="P581" s="54"/>
      <c r="Q581" s="54"/>
    </row>
    <row r="582" spans="1:17" ht="15.75">
      <c r="A582" s="58"/>
      <c r="B582" s="661" t="s">
        <v>663</v>
      </c>
      <c r="C582" s="661"/>
      <c r="D582" s="81"/>
      <c r="E582" s="661"/>
      <c r="F582" s="661"/>
      <c r="G582" s="2870"/>
      <c r="H582" s="2871"/>
      <c r="I582" s="2047"/>
      <c r="J582" s="661"/>
      <c r="K582" s="661"/>
      <c r="L582" s="661"/>
      <c r="M582" s="661"/>
      <c r="N582" s="661"/>
      <c r="O582" s="58"/>
      <c r="P582" s="54"/>
      <c r="Q582" s="54"/>
    </row>
    <row r="583" spans="1:17" ht="15.75">
      <c r="A583" s="58"/>
      <c r="B583" s="661" t="s">
        <v>612</v>
      </c>
      <c r="C583" s="661"/>
      <c r="D583" s="81"/>
      <c r="E583" s="661"/>
      <c r="F583" s="661"/>
      <c r="G583" s="2852" t="s">
        <v>663</v>
      </c>
      <c r="H583" s="2853"/>
      <c r="I583" s="2047"/>
      <c r="J583" s="661"/>
      <c r="K583" s="661"/>
      <c r="L583" s="661"/>
      <c r="M583" s="661"/>
      <c r="N583" s="661"/>
      <c r="O583" s="58"/>
      <c r="P583" s="54"/>
      <c r="Q583" s="54"/>
    </row>
    <row r="584" spans="1:17" ht="15.75">
      <c r="A584" s="58"/>
      <c r="B584" s="661" t="s">
        <v>613</v>
      </c>
      <c r="C584" s="661"/>
      <c r="D584" s="81"/>
      <c r="E584" s="661"/>
      <c r="F584" s="661"/>
      <c r="G584" s="2854" t="s">
        <v>612</v>
      </c>
      <c r="H584" s="2855"/>
      <c r="I584" s="2047"/>
      <c r="J584" s="661"/>
      <c r="K584" s="661"/>
      <c r="L584" s="661"/>
      <c r="M584" s="661"/>
      <c r="N584" s="661"/>
      <c r="O584" s="58"/>
      <c r="P584" s="54"/>
      <c r="Q584" s="54"/>
    </row>
    <row r="585" spans="1:17" ht="15.75">
      <c r="A585" s="58"/>
      <c r="B585" s="661" t="s">
        <v>614</v>
      </c>
      <c r="C585" s="661"/>
      <c r="D585" s="81"/>
      <c r="E585" s="661"/>
      <c r="F585" s="661"/>
      <c r="G585" s="815" t="s">
        <v>55</v>
      </c>
      <c r="H585" s="816">
        <v>500</v>
      </c>
      <c r="I585" s="2047"/>
      <c r="J585" s="661"/>
      <c r="K585" s="661"/>
      <c r="L585" s="661"/>
      <c r="M585" s="661"/>
      <c r="N585" s="661"/>
      <c r="O585" s="58"/>
      <c r="P585" s="54"/>
      <c r="Q585" s="54"/>
    </row>
    <row r="586" spans="1:17" ht="15.75">
      <c r="A586" s="58"/>
      <c r="B586" s="661" t="s">
        <v>615</v>
      </c>
      <c r="C586" s="661"/>
      <c r="D586" s="81"/>
      <c r="E586" s="661"/>
      <c r="F586" s="661"/>
      <c r="G586" s="811" t="s">
        <v>52</v>
      </c>
      <c r="H586" s="812">
        <v>8</v>
      </c>
      <c r="I586" s="2047"/>
      <c r="J586" s="661"/>
      <c r="K586" s="661"/>
      <c r="L586" s="661"/>
      <c r="M586" s="661"/>
      <c r="N586" s="661"/>
      <c r="O586" s="58"/>
      <c r="P586" s="54"/>
      <c r="Q586" s="54"/>
    </row>
    <row r="587" spans="1:17" ht="15.75">
      <c r="A587" s="58"/>
      <c r="B587" s="661"/>
      <c r="C587" s="661"/>
      <c r="D587" s="81"/>
      <c r="E587" s="661"/>
      <c r="F587" s="661"/>
      <c r="G587" s="798" t="s">
        <v>51</v>
      </c>
      <c r="H587" s="810">
        <f>H585*(H586/100)</f>
        <v>40</v>
      </c>
      <c r="I587" s="2047"/>
      <c r="J587" s="661"/>
      <c r="K587" s="661"/>
      <c r="L587" s="661"/>
      <c r="M587" s="661"/>
      <c r="N587" s="661"/>
      <c r="O587" s="58"/>
      <c r="P587" s="54"/>
      <c r="Q587" s="54"/>
    </row>
    <row r="588" spans="1:17" ht="15.75">
      <c r="A588" s="58"/>
      <c r="B588" s="661"/>
      <c r="C588" s="661"/>
      <c r="D588" s="81"/>
      <c r="E588" s="661"/>
      <c r="F588" s="661"/>
      <c r="G588" s="2856" t="s">
        <v>613</v>
      </c>
      <c r="H588" s="2857"/>
      <c r="I588" s="2047"/>
      <c r="J588" s="661"/>
      <c r="K588" s="661"/>
      <c r="L588" s="661"/>
      <c r="M588" s="661"/>
      <c r="N588" s="661"/>
      <c r="O588" s="58"/>
      <c r="P588" s="54"/>
      <c r="Q588" s="54"/>
    </row>
    <row r="589" spans="1:17" ht="15.75">
      <c r="A589" s="58"/>
      <c r="B589" s="661"/>
      <c r="C589" s="661"/>
      <c r="D589" s="81"/>
      <c r="E589" s="661"/>
      <c r="F589" s="661"/>
      <c r="G589" s="2854" t="s">
        <v>614</v>
      </c>
      <c r="H589" s="2855"/>
      <c r="I589" s="2047"/>
      <c r="J589" s="661"/>
      <c r="K589" s="661"/>
      <c r="L589" s="661"/>
      <c r="M589" s="661"/>
      <c r="N589" s="661"/>
      <c r="O589" s="58"/>
      <c r="P589" s="54"/>
      <c r="Q589" s="54"/>
    </row>
    <row r="590" spans="1:17" ht="16.5" thickBot="1">
      <c r="A590" s="58"/>
      <c r="B590" s="661"/>
      <c r="C590" s="661"/>
      <c r="D590" s="81"/>
      <c r="E590" s="661"/>
      <c r="F590" s="661"/>
      <c r="G590" s="814">
        <f>H586/100</f>
        <v>0.08</v>
      </c>
      <c r="H590" s="809">
        <f>H585*G590</f>
        <v>40</v>
      </c>
      <c r="I590" s="2047"/>
      <c r="J590" s="661"/>
      <c r="K590" s="661"/>
      <c r="L590" s="661"/>
      <c r="M590" s="661"/>
      <c r="N590" s="661"/>
      <c r="O590" s="58"/>
      <c r="P590" s="54"/>
      <c r="Q590" s="54"/>
    </row>
    <row r="591" spans="1:17" ht="15.75">
      <c r="A591" s="58"/>
      <c r="B591" s="665"/>
      <c r="C591" s="54"/>
      <c r="D591" s="54"/>
      <c r="E591" s="54"/>
      <c r="F591" s="2049"/>
      <c r="G591" s="2049"/>
      <c r="H591" s="57"/>
      <c r="I591" s="2047"/>
      <c r="J591" s="661"/>
      <c r="K591" s="661"/>
      <c r="L591" s="661"/>
      <c r="M591" s="661"/>
      <c r="N591" s="661"/>
      <c r="O591" s="58"/>
      <c r="P591" s="54"/>
      <c r="Q591" s="54"/>
    </row>
    <row r="592" spans="1:17" ht="16.5" thickBot="1">
      <c r="A592" s="58"/>
      <c r="B592" s="665"/>
      <c r="C592" s="54"/>
      <c r="D592" s="54"/>
      <c r="E592" s="54"/>
      <c r="F592" s="2049"/>
      <c r="G592" s="2049"/>
      <c r="H592" s="57"/>
      <c r="I592" s="2047"/>
      <c r="J592" s="661"/>
      <c r="K592" s="661"/>
      <c r="L592" s="661"/>
      <c r="M592" s="661"/>
      <c r="N592" s="661"/>
      <c r="O592" s="58"/>
      <c r="P592" s="54"/>
      <c r="Q592" s="54"/>
    </row>
    <row r="593" spans="1:17" ht="20.25">
      <c r="A593" s="58"/>
      <c r="B593" s="1689"/>
      <c r="C593" s="1690"/>
      <c r="D593" s="1690"/>
      <c r="E593" s="1690"/>
      <c r="F593" s="1690"/>
      <c r="G593" s="1690"/>
      <c r="H593" s="1691" t="s">
        <v>1792</v>
      </c>
      <c r="I593" s="2047"/>
      <c r="J593" s="661"/>
      <c r="K593" s="661"/>
      <c r="L593" s="661"/>
      <c r="M593" s="661"/>
      <c r="N593" s="661"/>
      <c r="O593" s="58"/>
      <c r="P593" s="54"/>
      <c r="Q593" s="54"/>
    </row>
    <row r="594" spans="1:17" ht="15.75">
      <c r="A594" s="58"/>
      <c r="B594" s="2283" t="s">
        <v>1793</v>
      </c>
      <c r="C594" s="1692"/>
      <c r="D594" s="1693" t="str">
        <f>IF(B595&lt;G595,"Recette imcomplète,il manque",IF(B595&gt;G595,"Trop de produits dans le recette",IF(B595=G595,"")))</f>
        <v>Recette imcomplète,il manque</v>
      </c>
      <c r="E594" s="2284">
        <f>IF(B595=G595,"",IF(B595&lt;G595,G595-B595,IF(B595&gt;G595,B595-G595)))</f>
        <v>2.9999999999999916E-2</v>
      </c>
      <c r="F594" s="1694" t="s">
        <v>474</v>
      </c>
      <c r="G594" s="1695" t="s">
        <v>492</v>
      </c>
      <c r="H594" s="1696" t="s">
        <v>473</v>
      </c>
      <c r="I594" s="2047"/>
      <c r="J594" s="661"/>
      <c r="K594" s="661"/>
      <c r="L594" s="661"/>
      <c r="M594" s="661"/>
      <c r="N594" s="661"/>
      <c r="O594" s="58"/>
      <c r="P594" s="54"/>
      <c r="Q594" s="54"/>
    </row>
    <row r="595" spans="1:17" ht="15.75">
      <c r="A595" s="58"/>
      <c r="B595" s="1697">
        <f>SUM(B596:B601)</f>
        <v>0.97000000000000008</v>
      </c>
      <c r="C595" s="1698"/>
      <c r="D595" s="1699"/>
      <c r="E595" s="1700" t="s">
        <v>1794</v>
      </c>
      <c r="F595" s="2285">
        <v>7</v>
      </c>
      <c r="G595" s="1701">
        <v>1</v>
      </c>
      <c r="H595" s="1702">
        <f>SUM(H596:H601)</f>
        <v>6.9300000000000006</v>
      </c>
      <c r="I595" s="2047"/>
      <c r="J595" s="661"/>
      <c r="K595" s="661"/>
      <c r="L595" s="661"/>
      <c r="M595" s="661"/>
      <c r="N595" s="661"/>
      <c r="O595" s="58"/>
      <c r="P595" s="54"/>
      <c r="Q595" s="54"/>
    </row>
    <row r="596" spans="1:17" ht="15.75">
      <c r="A596" s="58"/>
      <c r="B596" s="1703">
        <v>0.12</v>
      </c>
      <c r="C596" s="1704" t="s">
        <v>1670</v>
      </c>
      <c r="D596" s="1704"/>
      <c r="E596" s="1704"/>
      <c r="F596" s="2286">
        <f>F595*B596</f>
        <v>0.84</v>
      </c>
      <c r="G596" s="1705">
        <v>0</v>
      </c>
      <c r="H596" s="1706">
        <f t="shared" ref="H596:H601" si="3">IF(G596=0,F596,IF(F596="","",F596/(100-G596)*100))</f>
        <v>0.84</v>
      </c>
      <c r="I596" s="2047"/>
      <c r="J596" s="661"/>
      <c r="K596" s="661"/>
      <c r="L596" s="661"/>
      <c r="M596" s="661"/>
      <c r="N596" s="661"/>
      <c r="O596" s="58"/>
      <c r="P596" s="54"/>
      <c r="Q596" s="54"/>
    </row>
    <row r="597" spans="1:17" ht="15.75">
      <c r="A597" s="58"/>
      <c r="B597" s="1703">
        <v>0.08</v>
      </c>
      <c r="C597" s="1704" t="s">
        <v>1795</v>
      </c>
      <c r="D597" s="1704"/>
      <c r="E597" s="1704"/>
      <c r="F597" s="1707">
        <f>F595*B597</f>
        <v>0.56000000000000005</v>
      </c>
      <c r="G597" s="1705">
        <v>0</v>
      </c>
      <c r="H597" s="1706">
        <f t="shared" si="3"/>
        <v>0.56000000000000005</v>
      </c>
      <c r="I597" s="2047"/>
      <c r="J597" s="661"/>
      <c r="K597" s="661"/>
      <c r="L597" s="661"/>
      <c r="M597" s="661"/>
      <c r="N597" s="661"/>
      <c r="O597" s="58"/>
      <c r="P597" s="54"/>
      <c r="Q597" s="54"/>
    </row>
    <row r="598" spans="1:17" ht="15.75">
      <c r="A598" s="58"/>
      <c r="B598" s="1703">
        <v>0.2</v>
      </c>
      <c r="C598" s="1704" t="s">
        <v>1796</v>
      </c>
      <c r="D598" s="1704"/>
      <c r="E598" s="1704"/>
      <c r="F598" s="1707">
        <f>F595*B598</f>
        <v>1.4000000000000001</v>
      </c>
      <c r="G598" s="1705">
        <v>0</v>
      </c>
      <c r="H598" s="1706">
        <f t="shared" si="3"/>
        <v>1.4000000000000001</v>
      </c>
      <c r="I598" s="2047"/>
      <c r="J598" s="661"/>
      <c r="K598" s="661"/>
      <c r="L598" s="661"/>
      <c r="M598" s="661"/>
      <c r="N598" s="661"/>
      <c r="O598" s="58"/>
      <c r="P598" s="54"/>
      <c r="Q598" s="54"/>
    </row>
    <row r="599" spans="1:17" ht="15.75">
      <c r="A599" s="58"/>
      <c r="B599" s="1703">
        <v>0.55000000000000004</v>
      </c>
      <c r="C599" s="1704" t="s">
        <v>1692</v>
      </c>
      <c r="D599" s="1704"/>
      <c r="E599" s="1704"/>
      <c r="F599" s="1707">
        <f>F595*B599</f>
        <v>3.8500000000000005</v>
      </c>
      <c r="G599" s="1705">
        <v>0</v>
      </c>
      <c r="H599" s="1706">
        <f t="shared" si="3"/>
        <v>3.8500000000000005</v>
      </c>
      <c r="I599" s="2047"/>
      <c r="J599" s="661"/>
      <c r="K599" s="661"/>
      <c r="L599" s="661"/>
      <c r="M599" s="661"/>
      <c r="N599" s="661"/>
      <c r="O599" s="58"/>
      <c r="P599" s="54"/>
      <c r="Q599" s="54"/>
    </row>
    <row r="600" spans="1:17" ht="15.75">
      <c r="A600" s="58"/>
      <c r="B600" s="1703">
        <v>0.02</v>
      </c>
      <c r="C600" s="1704" t="s">
        <v>1797</v>
      </c>
      <c r="D600" s="1704"/>
      <c r="E600" s="1704"/>
      <c r="F600" s="1707">
        <f>F595*B600</f>
        <v>0.14000000000000001</v>
      </c>
      <c r="G600" s="1705">
        <v>50</v>
      </c>
      <c r="H600" s="1706">
        <f t="shared" si="3"/>
        <v>0.28000000000000003</v>
      </c>
      <c r="I600" s="2047"/>
      <c r="J600" s="661"/>
      <c r="K600" s="661"/>
      <c r="L600" s="661"/>
      <c r="M600" s="661"/>
      <c r="N600" s="661"/>
      <c r="O600" s="58"/>
      <c r="P600" s="54"/>
      <c r="Q600" s="54"/>
    </row>
    <row r="601" spans="1:17" ht="16.5" thickBot="1">
      <c r="A601" s="58"/>
      <c r="B601" s="1708"/>
      <c r="C601" s="1709"/>
      <c r="D601" s="1709"/>
      <c r="E601" s="1709"/>
      <c r="F601" s="1710">
        <f>F595*B601</f>
        <v>0</v>
      </c>
      <c r="G601" s="1711">
        <v>0</v>
      </c>
      <c r="H601" s="1712">
        <f t="shared" si="3"/>
        <v>0</v>
      </c>
      <c r="I601" s="2047"/>
      <c r="J601" s="661"/>
      <c r="K601" s="661"/>
      <c r="L601" s="661"/>
      <c r="M601" s="661"/>
      <c r="N601" s="661"/>
      <c r="O601" s="58"/>
      <c r="P601" s="54"/>
      <c r="Q601" s="54"/>
    </row>
    <row r="602" spans="1:17" ht="15.75">
      <c r="A602" s="58"/>
      <c r="B602" s="665"/>
      <c r="C602" s="54"/>
      <c r="D602" s="54"/>
      <c r="E602" s="54"/>
      <c r="F602" s="2049"/>
      <c r="G602" s="2049"/>
      <c r="H602" s="57"/>
      <c r="I602" s="2047"/>
      <c r="J602" s="661"/>
      <c r="K602" s="661"/>
      <c r="L602" s="661"/>
      <c r="M602" s="661"/>
      <c r="N602" s="661"/>
      <c r="O602" s="58"/>
      <c r="P602" s="54"/>
      <c r="Q602" s="54"/>
    </row>
    <row r="603" spans="1:17">
      <c r="A603" s="1647"/>
      <c r="B603" s="1648"/>
      <c r="C603" s="1649"/>
      <c r="D603" s="1649"/>
      <c r="E603" s="1649"/>
      <c r="F603" s="1649"/>
      <c r="G603" s="1649"/>
      <c r="H603" s="1649"/>
      <c r="I603" s="1649"/>
      <c r="J603" s="1648"/>
      <c r="K603" s="1648"/>
      <c r="L603" s="1648"/>
      <c r="M603" s="1647"/>
      <c r="N603" s="1647"/>
      <c r="O603" s="1647"/>
      <c r="P603" s="1647"/>
      <c r="Q603" s="1647"/>
    </row>
    <row r="604" spans="1:17" ht="15.75">
      <c r="A604" s="58"/>
      <c r="B604" s="665"/>
      <c r="C604" s="54"/>
      <c r="D604" s="54"/>
      <c r="E604" s="54"/>
      <c r="F604" s="2049"/>
      <c r="G604" s="2049"/>
      <c r="H604" s="57"/>
      <c r="I604" s="2047"/>
      <c r="J604" s="661"/>
      <c r="K604" s="661"/>
      <c r="L604" s="661"/>
      <c r="M604" s="661"/>
      <c r="N604" s="661"/>
      <c r="O604" s="58"/>
      <c r="P604" s="54"/>
      <c r="Q604" s="54"/>
    </row>
    <row r="605" spans="1:17" ht="15.75">
      <c r="A605" s="58"/>
      <c r="B605" s="665" t="s">
        <v>590</v>
      </c>
      <c r="C605" s="54"/>
      <c r="D605" s="54"/>
      <c r="E605" s="54"/>
      <c r="F605" s="2049"/>
      <c r="G605" s="2049"/>
      <c r="H605" s="57"/>
      <c r="I605" s="2047"/>
      <c r="J605" s="661"/>
      <c r="K605" s="661"/>
      <c r="L605" s="81"/>
      <c r="M605" s="817"/>
      <c r="N605" s="818"/>
      <c r="O605" s="58"/>
      <c r="P605" s="54"/>
      <c r="Q605" s="54"/>
    </row>
    <row r="606" spans="1:17" ht="15.75">
      <c r="A606" s="58"/>
      <c r="B606" s="2848" t="s">
        <v>592</v>
      </c>
      <c r="C606" s="2848"/>
      <c r="D606" s="2848"/>
      <c r="E606" s="2848"/>
      <c r="F606" s="2848"/>
      <c r="G606" s="2848"/>
      <c r="H606" s="57"/>
      <c r="I606" s="2047"/>
      <c r="J606" s="661" t="s">
        <v>619</v>
      </c>
      <c r="K606" s="661"/>
      <c r="L606" s="81"/>
      <c r="M606" s="2047"/>
      <c r="N606" s="2047"/>
      <c r="O606" s="58"/>
      <c r="P606" s="54"/>
      <c r="Q606" s="54"/>
    </row>
    <row r="607" spans="1:17" ht="15.75">
      <c r="A607" s="58"/>
      <c r="B607" s="661"/>
      <c r="C607" s="54"/>
      <c r="D607" s="54"/>
      <c r="E607" s="54"/>
      <c r="F607" s="2049"/>
      <c r="G607" s="2049"/>
      <c r="H607" s="57"/>
      <c r="I607" s="2047"/>
      <c r="J607" s="662" t="s">
        <v>618</v>
      </c>
      <c r="K607" s="661"/>
      <c r="L607" s="81"/>
      <c r="M607" s="2047"/>
      <c r="N607" s="2047"/>
      <c r="O607" s="58"/>
      <c r="P607" s="54"/>
      <c r="Q607" s="54"/>
    </row>
    <row r="608" spans="1:17" ht="15.75">
      <c r="A608" s="58"/>
      <c r="B608" s="661" t="s">
        <v>594</v>
      </c>
      <c r="C608" s="54"/>
      <c r="D608" s="54"/>
      <c r="E608" s="54"/>
      <c r="F608" s="2049"/>
      <c r="G608" s="2049"/>
      <c r="H608" s="57"/>
      <c r="I608" s="2047"/>
      <c r="J608" s="661"/>
      <c r="K608" s="661"/>
      <c r="L608" s="81"/>
      <c r="M608" s="2047"/>
      <c r="N608" s="2047"/>
      <c r="O608" s="58"/>
      <c r="P608" s="54"/>
      <c r="Q608" s="54"/>
    </row>
    <row r="609" spans="1:17" ht="15.75">
      <c r="A609" s="58"/>
      <c r="B609" s="661" t="s">
        <v>595</v>
      </c>
      <c r="C609" s="54"/>
      <c r="D609" s="54"/>
      <c r="E609" s="54"/>
      <c r="F609" s="2049"/>
      <c r="G609" s="2049"/>
      <c r="H609" s="57"/>
      <c r="I609" s="2047"/>
      <c r="J609" s="661" t="s">
        <v>598</v>
      </c>
      <c r="K609" s="661"/>
      <c r="L609" s="81"/>
      <c r="M609" s="2047"/>
      <c r="N609" s="2047"/>
      <c r="O609" s="58"/>
      <c r="P609" s="54"/>
      <c r="Q609" s="54"/>
    </row>
    <row r="610" spans="1:17" ht="15.75">
      <c r="A610" s="58"/>
      <c r="B610" s="661" t="s">
        <v>596</v>
      </c>
      <c r="C610" s="54"/>
      <c r="D610" s="54"/>
      <c r="E610" s="54"/>
      <c r="F610" s="2049"/>
      <c r="G610" s="2049"/>
      <c r="H610" s="57"/>
      <c r="I610" s="2047"/>
      <c r="J610" s="661" t="s">
        <v>599</v>
      </c>
      <c r="K610" s="661"/>
      <c r="L610" s="81"/>
      <c r="M610" s="2047"/>
      <c r="N610" s="2047"/>
      <c r="O610" s="58"/>
      <c r="P610" s="54"/>
      <c r="Q610" s="54"/>
    </row>
    <row r="611" spans="1:17" ht="15.75">
      <c r="A611" s="58"/>
      <c r="B611" s="661" t="s">
        <v>597</v>
      </c>
      <c r="C611" s="54"/>
      <c r="D611" s="54"/>
      <c r="E611" s="54"/>
      <c r="F611" s="2049"/>
      <c r="G611" s="2049"/>
      <c r="H611" s="57"/>
      <c r="I611" s="2047"/>
      <c r="J611" s="661" t="s">
        <v>600</v>
      </c>
      <c r="K611" s="661"/>
      <c r="L611" s="81"/>
      <c r="M611" s="2047"/>
      <c r="N611" s="2047"/>
      <c r="O611" s="58"/>
      <c r="P611" s="58"/>
      <c r="Q611" s="57"/>
    </row>
    <row r="612" spans="1:17" ht="15.75">
      <c r="A612" s="58"/>
      <c r="B612" s="2848" t="s">
        <v>593</v>
      </c>
      <c r="C612" s="2848"/>
      <c r="D612" s="2848"/>
      <c r="E612" s="2848"/>
      <c r="F612" s="2049"/>
      <c r="G612" s="2049"/>
      <c r="H612" s="57"/>
      <c r="I612" s="2047"/>
      <c r="J612" s="661" t="s">
        <v>603</v>
      </c>
      <c r="K612" s="661"/>
      <c r="L612" s="81"/>
      <c r="M612" s="2047"/>
      <c r="N612" s="2047"/>
      <c r="O612" s="58"/>
      <c r="P612" s="58"/>
      <c r="Q612" s="57"/>
    </row>
    <row r="613" spans="1:17" ht="15.75">
      <c r="A613" s="58"/>
      <c r="B613" s="661"/>
      <c r="C613" s="54"/>
      <c r="D613" s="54"/>
      <c r="E613" s="54"/>
      <c r="F613" s="2049"/>
      <c r="G613" s="2049"/>
      <c r="H613" s="57"/>
      <c r="I613" s="2047"/>
      <c r="J613" s="662" t="s">
        <v>601</v>
      </c>
      <c r="K613" s="661"/>
      <c r="L613" s="81"/>
      <c r="M613" s="2047"/>
      <c r="N613" s="2047"/>
      <c r="O613" s="58"/>
      <c r="P613" s="58"/>
      <c r="Q613" s="57"/>
    </row>
    <row r="614" spans="1:17" ht="15.75">
      <c r="A614" s="58"/>
      <c r="B614" s="663" t="s">
        <v>636</v>
      </c>
      <c r="C614" s="54"/>
      <c r="D614" s="54"/>
      <c r="E614" s="54"/>
      <c r="F614" s="2049"/>
      <c r="G614" s="2049"/>
      <c r="H614" s="57"/>
      <c r="I614" s="2047"/>
      <c r="J614" s="662" t="s">
        <v>602</v>
      </c>
      <c r="K614" s="661"/>
      <c r="L614" s="81"/>
      <c r="M614" s="2047"/>
      <c r="N614" s="2047"/>
      <c r="O614" s="58"/>
      <c r="P614" s="58"/>
      <c r="Q614" s="57"/>
    </row>
    <row r="615" spans="1:17" ht="15.75">
      <c r="A615" s="58"/>
      <c r="B615" s="2848" t="s">
        <v>640</v>
      </c>
      <c r="C615" s="2848"/>
      <c r="D615" s="2848"/>
      <c r="E615" s="2848"/>
      <c r="F615" s="2848"/>
      <c r="G615" s="2049"/>
      <c r="H615" s="57"/>
      <c r="I615" s="2047"/>
      <c r="J615" s="661"/>
      <c r="K615" s="661"/>
      <c r="L615" s="81"/>
      <c r="M615" s="2047"/>
      <c r="N615" s="2047"/>
      <c r="O615" s="58"/>
      <c r="P615" s="58"/>
      <c r="Q615" s="57"/>
    </row>
    <row r="616" spans="1:17" ht="15.75">
      <c r="A616" s="58"/>
      <c r="B616" s="661"/>
      <c r="C616" s="54"/>
      <c r="D616" s="54"/>
      <c r="E616" s="54"/>
      <c r="F616" s="2049"/>
      <c r="G616" s="2049"/>
      <c r="H616" s="57"/>
      <c r="I616" s="2047"/>
      <c r="J616" s="663" t="s">
        <v>646</v>
      </c>
      <c r="K616" s="661"/>
      <c r="L616" s="81"/>
      <c r="M616" s="2047"/>
      <c r="N616" s="2047"/>
      <c r="O616" s="58"/>
      <c r="P616" s="58"/>
      <c r="Q616" s="57"/>
    </row>
    <row r="617" spans="1:17" ht="15.75">
      <c r="A617" s="58"/>
      <c r="B617" s="661"/>
      <c r="C617" s="54"/>
      <c r="D617" s="54"/>
      <c r="E617" s="54"/>
      <c r="F617" s="2049"/>
      <c r="G617" s="2049"/>
      <c r="H617" s="57"/>
      <c r="I617" s="2047"/>
      <c r="J617" s="662" t="s">
        <v>647</v>
      </c>
      <c r="K617" s="661"/>
      <c r="L617" s="81"/>
      <c r="M617" s="2047"/>
      <c r="N617" s="2047"/>
      <c r="O617" s="58"/>
      <c r="P617" s="58"/>
      <c r="Q617" s="57"/>
    </row>
    <row r="618" spans="1:17" ht="15.75">
      <c r="A618" s="58"/>
      <c r="B618" s="663" t="s">
        <v>604</v>
      </c>
      <c r="C618" s="54"/>
      <c r="D618" s="54"/>
      <c r="E618" s="54"/>
      <c r="F618" s="2049"/>
      <c r="G618" s="2049"/>
      <c r="H618" s="57"/>
      <c r="I618" s="2047"/>
      <c r="J618" s="661"/>
      <c r="K618" s="661"/>
      <c r="L618" s="81"/>
      <c r="M618" s="2047"/>
      <c r="N618" s="2047"/>
      <c r="O618" s="58"/>
      <c r="P618" s="58"/>
      <c r="Q618" s="57"/>
    </row>
    <row r="619" spans="1:17" ht="15.75">
      <c r="A619" s="58"/>
      <c r="B619" s="2848" t="s">
        <v>606</v>
      </c>
      <c r="C619" s="2848"/>
      <c r="D619" s="2848"/>
      <c r="E619" s="2848"/>
      <c r="F619" s="2848"/>
      <c r="G619" s="2848"/>
      <c r="H619" s="57"/>
      <c r="I619" s="2047"/>
      <c r="J619" s="661" t="s">
        <v>621</v>
      </c>
      <c r="K619" s="661"/>
      <c r="L619" s="81"/>
      <c r="M619" s="2047"/>
      <c r="N619" s="2047"/>
      <c r="O619" s="58"/>
      <c r="P619" s="58"/>
      <c r="Q619" s="57"/>
    </row>
    <row r="620" spans="1:17" ht="15.75">
      <c r="A620" s="58"/>
      <c r="B620" s="2848" t="s">
        <v>605</v>
      </c>
      <c r="C620" s="2848"/>
      <c r="D620" s="2848"/>
      <c r="E620" s="2848"/>
      <c r="F620" s="2848"/>
      <c r="G620" s="2848"/>
      <c r="H620" s="57"/>
      <c r="I620" s="2047"/>
      <c r="J620" s="662" t="s">
        <v>620</v>
      </c>
      <c r="K620" s="661"/>
      <c r="L620" s="81"/>
      <c r="M620" s="2047"/>
      <c r="N620" s="2047"/>
      <c r="O620" s="58"/>
      <c r="P620" s="58"/>
      <c r="Q620" s="57"/>
    </row>
    <row r="621" spans="1:17" ht="15.75">
      <c r="A621" s="58"/>
      <c r="B621" s="661"/>
      <c r="C621" s="54"/>
      <c r="D621" s="54"/>
      <c r="E621" s="54"/>
      <c r="F621" s="2049"/>
      <c r="G621" s="2049"/>
      <c r="H621" s="57"/>
      <c r="I621" s="2047"/>
      <c r="J621" s="661"/>
      <c r="K621" s="661"/>
      <c r="L621" s="81"/>
      <c r="M621" s="2047"/>
      <c r="N621" s="2047"/>
      <c r="O621" s="58"/>
      <c r="P621" s="58"/>
      <c r="Q621" s="57"/>
    </row>
    <row r="622" spans="1:17" ht="15.75">
      <c r="A622" s="58"/>
      <c r="B622" s="663" t="s">
        <v>607</v>
      </c>
      <c r="C622" s="54"/>
      <c r="D622" s="54"/>
      <c r="E622" s="54"/>
      <c r="F622" s="2049"/>
      <c r="G622" s="2049"/>
      <c r="H622" s="57"/>
      <c r="I622" s="2047"/>
      <c r="J622" s="661" t="s">
        <v>654</v>
      </c>
      <c r="K622" s="661"/>
      <c r="L622" s="81"/>
      <c r="M622" s="2047"/>
      <c r="N622" s="2047"/>
      <c r="O622" s="58"/>
      <c r="P622" s="58"/>
      <c r="Q622" s="57"/>
    </row>
    <row r="623" spans="1:17" ht="15.75">
      <c r="A623" s="58"/>
      <c r="B623" s="661" t="s">
        <v>609</v>
      </c>
      <c r="C623" s="54"/>
      <c r="D623" s="54"/>
      <c r="E623" s="54"/>
      <c r="F623" s="2049"/>
      <c r="G623" s="2049"/>
      <c r="H623" s="57"/>
      <c r="I623" s="2047"/>
      <c r="J623" s="662" t="s">
        <v>653</v>
      </c>
      <c r="K623" s="661"/>
      <c r="L623" s="81"/>
      <c r="M623" s="2047"/>
      <c r="N623" s="2047"/>
      <c r="O623" s="58"/>
      <c r="P623" s="58"/>
      <c r="Q623" s="57"/>
    </row>
    <row r="624" spans="1:17" ht="15.75">
      <c r="A624" s="58"/>
      <c r="B624" s="661" t="s">
        <v>610</v>
      </c>
      <c r="C624" s="54"/>
      <c r="D624" s="54"/>
      <c r="E624" s="54"/>
      <c r="F624" s="2049"/>
      <c r="G624" s="2049"/>
      <c r="H624" s="57"/>
      <c r="I624" s="2047"/>
      <c r="J624" s="661"/>
      <c r="K624" s="661"/>
      <c r="L624" s="81"/>
      <c r="M624" s="2047"/>
      <c r="N624" s="2047"/>
      <c r="O624" s="58"/>
      <c r="P624" s="58"/>
      <c r="Q624" s="57"/>
    </row>
    <row r="625" spans="1:17" ht="15.75">
      <c r="A625" s="58"/>
      <c r="B625" s="661" t="s">
        <v>611</v>
      </c>
      <c r="C625" s="54"/>
      <c r="D625" s="54"/>
      <c r="E625" s="54"/>
      <c r="F625" s="2049"/>
      <c r="G625" s="2049"/>
      <c r="H625" s="57"/>
      <c r="I625" s="2047"/>
      <c r="J625" s="664" t="s">
        <v>625</v>
      </c>
      <c r="K625" s="661"/>
      <c r="L625" s="81"/>
      <c r="M625" s="2047"/>
      <c r="N625" s="2047"/>
      <c r="O625" s="58"/>
      <c r="P625" s="58"/>
      <c r="Q625" s="57"/>
    </row>
    <row r="626" spans="1:17" ht="15.75">
      <c r="A626" s="58"/>
      <c r="B626" s="2848" t="s">
        <v>608</v>
      </c>
      <c r="C626" s="2848"/>
      <c r="D626" s="2848"/>
      <c r="E626" s="2848"/>
      <c r="F626" s="2848"/>
      <c r="G626" s="2049"/>
      <c r="H626" s="57"/>
      <c r="I626" s="2047"/>
      <c r="J626" s="662" t="s">
        <v>626</v>
      </c>
      <c r="K626" s="661"/>
      <c r="L626" s="81"/>
      <c r="M626" s="2047"/>
      <c r="N626" s="2047"/>
      <c r="O626" s="58"/>
      <c r="P626" s="58"/>
      <c r="Q626" s="57"/>
    </row>
    <row r="627" spans="1:17" ht="15.75">
      <c r="A627" s="58"/>
      <c r="B627" s="661"/>
      <c r="C627" s="54"/>
      <c r="D627" s="54"/>
      <c r="E627" s="54"/>
      <c r="F627" s="2049"/>
      <c r="G627" s="2049"/>
      <c r="H627" s="57"/>
      <c r="I627" s="2047"/>
      <c r="J627" s="662" t="s">
        <v>650</v>
      </c>
      <c r="K627" s="661"/>
      <c r="L627" s="81"/>
      <c r="M627" s="2047"/>
      <c r="N627" s="2047"/>
      <c r="O627" s="58"/>
      <c r="P627" s="58"/>
      <c r="Q627" s="57"/>
    </row>
    <row r="628" spans="1:17" ht="15.75">
      <c r="A628" s="58"/>
      <c r="B628" s="661"/>
      <c r="C628" s="54"/>
      <c r="D628" s="54"/>
      <c r="E628" s="54"/>
      <c r="F628" s="2049"/>
      <c r="G628" s="2049"/>
      <c r="H628" s="57"/>
      <c r="I628" s="2047"/>
      <c r="J628" s="662" t="s">
        <v>651</v>
      </c>
      <c r="K628" s="661"/>
      <c r="L628" s="81"/>
      <c r="M628" s="2047"/>
      <c r="N628" s="2047"/>
      <c r="O628" s="58"/>
      <c r="P628" s="58"/>
      <c r="Q628" s="57"/>
    </row>
    <row r="629" spans="1:17" ht="15.75">
      <c r="A629" s="58"/>
      <c r="B629" s="661" t="s">
        <v>617</v>
      </c>
      <c r="C629" s="54"/>
      <c r="D629" s="54"/>
      <c r="E629" s="54"/>
      <c r="F629" s="2049"/>
      <c r="G629" s="2049"/>
      <c r="H629" s="57"/>
      <c r="I629" s="2047"/>
      <c r="J629" s="661"/>
      <c r="K629" s="661"/>
      <c r="L629" s="81"/>
      <c r="M629" s="2047"/>
      <c r="N629" s="2047"/>
      <c r="O629" s="58"/>
      <c r="P629" s="58"/>
      <c r="Q629" s="57"/>
    </row>
    <row r="630" spans="1:17" ht="15.75">
      <c r="A630" s="58"/>
      <c r="B630" s="2848" t="s">
        <v>616</v>
      </c>
      <c r="C630" s="2848"/>
      <c r="D630" s="2848"/>
      <c r="E630" s="2848"/>
      <c r="F630" s="2049"/>
      <c r="G630" s="2049"/>
      <c r="H630" s="57"/>
      <c r="I630" s="2047"/>
      <c r="J630" s="663" t="s">
        <v>648</v>
      </c>
      <c r="K630" s="661"/>
      <c r="L630" s="81"/>
      <c r="M630" s="2047"/>
      <c r="N630" s="2047"/>
      <c r="O630" s="58"/>
      <c r="P630" s="58"/>
      <c r="Q630" s="57"/>
    </row>
    <row r="631" spans="1:17" ht="15.75">
      <c r="A631" s="58"/>
      <c r="B631" s="661"/>
      <c r="C631" s="54"/>
      <c r="D631" s="54"/>
      <c r="E631" s="54"/>
      <c r="F631" s="2049"/>
      <c r="G631" s="2049"/>
      <c r="H631" s="57"/>
      <c r="I631" s="2047"/>
      <c r="J631" s="662" t="s">
        <v>649</v>
      </c>
      <c r="K631" s="661"/>
      <c r="L631" s="81"/>
      <c r="M631" s="2047"/>
      <c r="N631" s="2047"/>
      <c r="O631" s="58"/>
      <c r="P631" s="58"/>
      <c r="Q631" s="57"/>
    </row>
    <row r="632" spans="1:17" ht="15.75">
      <c r="A632" s="58"/>
      <c r="B632" s="661"/>
      <c r="C632" s="54"/>
      <c r="D632" s="54"/>
      <c r="E632" s="54"/>
      <c r="F632" s="2049"/>
      <c r="G632" s="2049"/>
      <c r="H632" s="57"/>
      <c r="I632" s="2047"/>
      <c r="J632" s="662"/>
      <c r="K632" s="661"/>
      <c r="L632" s="81"/>
      <c r="M632" s="2047"/>
      <c r="N632" s="2047"/>
      <c r="O632" s="58"/>
      <c r="P632" s="58"/>
      <c r="Q632" s="57"/>
    </row>
    <row r="633" spans="1:17">
      <c r="A633" s="1647"/>
      <c r="B633" s="1648"/>
      <c r="C633" s="1649"/>
      <c r="D633" s="1649"/>
      <c r="E633" s="1649"/>
      <c r="F633" s="1649"/>
      <c r="G633" s="1649"/>
      <c r="H633" s="1649"/>
      <c r="I633" s="1649"/>
      <c r="J633" s="1648"/>
      <c r="K633" s="1648"/>
      <c r="L633" s="1648"/>
      <c r="M633" s="1647"/>
      <c r="N633" s="1647"/>
      <c r="O633" s="1647"/>
      <c r="P633" s="1647"/>
      <c r="Q633" s="1647"/>
    </row>
    <row r="634" spans="1:17">
      <c r="A634" s="58"/>
      <c r="B634" s="57"/>
      <c r="C634" s="57"/>
      <c r="D634" s="57"/>
      <c r="E634" s="57"/>
      <c r="F634" s="57"/>
      <c r="G634" s="57"/>
      <c r="H634" s="57"/>
      <c r="I634" s="57"/>
      <c r="J634" s="57"/>
      <c r="K634" s="57"/>
      <c r="L634" s="57"/>
      <c r="M634" s="57"/>
      <c r="N634" s="57"/>
      <c r="O634" s="57"/>
      <c r="P634" s="57"/>
      <c r="Q634" s="57"/>
    </row>
    <row r="635" spans="1:17">
      <c r="A635" s="58"/>
      <c r="B635" s="57"/>
      <c r="C635" s="57"/>
      <c r="D635" s="57"/>
      <c r="E635" s="57"/>
      <c r="F635" s="57"/>
      <c r="G635" s="57"/>
      <c r="H635" s="57"/>
      <c r="I635" s="57"/>
      <c r="J635" s="57"/>
      <c r="K635" s="57"/>
      <c r="L635" s="57"/>
      <c r="M635" s="57"/>
      <c r="N635" s="57"/>
      <c r="O635" s="57"/>
      <c r="P635" s="57"/>
      <c r="Q635" s="57"/>
    </row>
    <row r="636" spans="1:17" ht="15.75">
      <c r="A636" s="58"/>
      <c r="B636" s="57"/>
      <c r="C636" s="57"/>
      <c r="D636" s="57"/>
      <c r="E636" s="57"/>
      <c r="F636" s="57"/>
      <c r="G636" s="126" t="str">
        <f>SUBSTITUTE(ADDRESS(1,COLUMN(),4),"1","")</f>
        <v>G</v>
      </c>
      <c r="H636" s="57" t="s">
        <v>239</v>
      </c>
      <c r="I636" s="57"/>
      <c r="J636" s="57"/>
      <c r="K636" s="57"/>
      <c r="L636" s="57"/>
      <c r="M636" s="57"/>
      <c r="N636" s="57"/>
      <c r="O636" s="57"/>
      <c r="P636" s="57"/>
      <c r="Q636" s="57"/>
    </row>
    <row r="637" spans="1:17" ht="15.75">
      <c r="A637" s="58"/>
      <c r="B637" s="57"/>
      <c r="C637" s="2849" t="s">
        <v>240</v>
      </c>
      <c r="D637" s="2850"/>
      <c r="E637" s="2850"/>
      <c r="F637" s="2850"/>
      <c r="G637" s="2850"/>
      <c r="H637" s="2850"/>
      <c r="I637" s="2850"/>
      <c r="J637" s="2850"/>
      <c r="K637" s="2850"/>
      <c r="L637" s="2851"/>
      <c r="M637" s="58"/>
      <c r="N637" s="58"/>
      <c r="O637" s="58"/>
      <c r="P637" s="58"/>
      <c r="Q637" s="58"/>
    </row>
    <row r="638" spans="1:17">
      <c r="A638" s="58"/>
      <c r="B638" s="57"/>
      <c r="C638" s="2843" t="s">
        <v>241</v>
      </c>
      <c r="D638" s="2844"/>
      <c r="E638" s="2844"/>
      <c r="F638" s="127">
        <v>1</v>
      </c>
      <c r="G638" s="128">
        <f>F638</f>
        <v>1</v>
      </c>
      <c r="H638" s="2845" t="s">
        <v>47</v>
      </c>
      <c r="I638" s="2845"/>
      <c r="J638" s="129" t="s">
        <v>242</v>
      </c>
      <c r="K638" s="2846" t="s">
        <v>48</v>
      </c>
      <c r="L638" s="2847"/>
      <c r="M638" s="58"/>
      <c r="N638" s="58"/>
      <c r="O638" s="58"/>
      <c r="P638" s="58"/>
      <c r="Q638" s="58"/>
    </row>
    <row r="639" spans="1:17">
      <c r="A639" s="58"/>
      <c r="B639" s="57"/>
      <c r="C639" s="2838" t="s">
        <v>243</v>
      </c>
      <c r="D639" s="2839"/>
      <c r="E639" s="2839"/>
      <c r="F639" s="130">
        <v>25</v>
      </c>
      <c r="G639" s="128">
        <f>G638</f>
        <v>1</v>
      </c>
      <c r="H639" s="2840">
        <f t="shared" ref="H639:H645" si="4">(G639*F639)/100</f>
        <v>0.25</v>
      </c>
      <c r="I639" s="2840"/>
      <c r="J639" s="131">
        <v>20</v>
      </c>
      <c r="K639" s="2841">
        <f t="shared" ref="K639:K645" si="5">H639/(100-J639)*100</f>
        <v>0.3125</v>
      </c>
      <c r="L639" s="2842"/>
      <c r="M639" s="58"/>
      <c r="N639" s="58"/>
      <c r="O639" s="58"/>
      <c r="P639" s="58"/>
      <c r="Q639" s="58"/>
    </row>
    <row r="640" spans="1:17">
      <c r="A640" s="58"/>
      <c r="B640" s="57"/>
      <c r="C640" s="2838" t="s">
        <v>244</v>
      </c>
      <c r="D640" s="2839"/>
      <c r="E640" s="2839"/>
      <c r="F640" s="130">
        <v>20</v>
      </c>
      <c r="G640" s="128">
        <f>G638</f>
        <v>1</v>
      </c>
      <c r="H640" s="2840">
        <f t="shared" si="4"/>
        <v>0.2</v>
      </c>
      <c r="I640" s="2840"/>
      <c r="J640" s="131">
        <v>25</v>
      </c>
      <c r="K640" s="2841">
        <f t="shared" si="5"/>
        <v>0.26666666666666672</v>
      </c>
      <c r="L640" s="2842"/>
      <c r="M640" s="58"/>
      <c r="N640" s="58"/>
      <c r="O640" s="58"/>
      <c r="P640" s="58"/>
      <c r="Q640" s="58"/>
    </row>
    <row r="641" spans="1:17">
      <c r="A641" s="58"/>
      <c r="B641" s="57"/>
      <c r="C641" s="2838" t="s">
        <v>245</v>
      </c>
      <c r="D641" s="2839"/>
      <c r="E641" s="2839"/>
      <c r="F641" s="130">
        <v>15</v>
      </c>
      <c r="G641" s="128">
        <f>G638</f>
        <v>1</v>
      </c>
      <c r="H641" s="2840">
        <f t="shared" si="4"/>
        <v>0.15</v>
      </c>
      <c r="I641" s="2840"/>
      <c r="J641" s="131">
        <v>20</v>
      </c>
      <c r="K641" s="2841">
        <f t="shared" si="5"/>
        <v>0.1875</v>
      </c>
      <c r="L641" s="2842"/>
      <c r="M641" s="58"/>
      <c r="N641" s="58"/>
      <c r="O641" s="58"/>
      <c r="P641" s="58"/>
      <c r="Q641" s="58"/>
    </row>
    <row r="642" spans="1:17">
      <c r="A642" s="58"/>
      <c r="B642" s="57"/>
      <c r="C642" s="2838" t="s">
        <v>246</v>
      </c>
      <c r="D642" s="2839"/>
      <c r="E642" s="2839"/>
      <c r="F642" s="130">
        <v>15</v>
      </c>
      <c r="G642" s="128">
        <f>G638</f>
        <v>1</v>
      </c>
      <c r="H642" s="2840">
        <f t="shared" si="4"/>
        <v>0.15</v>
      </c>
      <c r="I642" s="2840"/>
      <c r="J642" s="131">
        <v>0</v>
      </c>
      <c r="K642" s="2841">
        <f t="shared" si="5"/>
        <v>0.15</v>
      </c>
      <c r="L642" s="2842"/>
      <c r="M642" s="58"/>
      <c r="N642" s="58"/>
      <c r="O642" s="58"/>
      <c r="P642" s="58"/>
      <c r="Q642" s="58"/>
    </row>
    <row r="643" spans="1:17">
      <c r="A643" s="58"/>
      <c r="B643" s="57"/>
      <c r="C643" s="2838" t="s">
        <v>247</v>
      </c>
      <c r="D643" s="2839"/>
      <c r="E643" s="2839"/>
      <c r="F643" s="130">
        <v>10</v>
      </c>
      <c r="G643" s="128">
        <f>G638</f>
        <v>1</v>
      </c>
      <c r="H643" s="2840">
        <f t="shared" si="4"/>
        <v>0.1</v>
      </c>
      <c r="I643" s="2840"/>
      <c r="J643" s="131">
        <v>20</v>
      </c>
      <c r="K643" s="2841">
        <f t="shared" si="5"/>
        <v>0.125</v>
      </c>
      <c r="L643" s="2842"/>
      <c r="M643" s="58"/>
      <c r="N643" s="58"/>
      <c r="O643" s="58"/>
      <c r="P643" s="58"/>
      <c r="Q643" s="58"/>
    </row>
    <row r="644" spans="1:17">
      <c r="A644" s="58"/>
      <c r="B644" s="57"/>
      <c r="C644" s="2838" t="s">
        <v>248</v>
      </c>
      <c r="D644" s="2839"/>
      <c r="E644" s="2839"/>
      <c r="F644" s="130">
        <v>7.5</v>
      </c>
      <c r="G644" s="128">
        <f>G638</f>
        <v>1</v>
      </c>
      <c r="H644" s="2840">
        <f t="shared" si="4"/>
        <v>7.4999999999999997E-2</v>
      </c>
      <c r="I644" s="2840"/>
      <c r="J644" s="131">
        <v>20</v>
      </c>
      <c r="K644" s="2841">
        <f t="shared" si="5"/>
        <v>9.375E-2</v>
      </c>
      <c r="L644" s="2842"/>
      <c r="M644" s="58"/>
      <c r="N644" s="58"/>
      <c r="O644" s="58"/>
      <c r="P644" s="58"/>
      <c r="Q644" s="58"/>
    </row>
    <row r="645" spans="1:17">
      <c r="A645" s="58"/>
      <c r="B645" s="57"/>
      <c r="C645" s="2838" t="s">
        <v>249</v>
      </c>
      <c r="D645" s="2839"/>
      <c r="E645" s="2839"/>
      <c r="F645" s="130">
        <v>7.5</v>
      </c>
      <c r="G645" s="128">
        <f>G638</f>
        <v>1</v>
      </c>
      <c r="H645" s="2840">
        <f t="shared" si="4"/>
        <v>7.4999999999999997E-2</v>
      </c>
      <c r="I645" s="2840"/>
      <c r="J645" s="131">
        <v>20</v>
      </c>
      <c r="K645" s="2841">
        <f t="shared" si="5"/>
        <v>9.375E-2</v>
      </c>
      <c r="L645" s="2842"/>
      <c r="M645" s="58"/>
      <c r="N645" s="58"/>
      <c r="O645" s="58"/>
      <c r="P645" s="58"/>
      <c r="Q645" s="58"/>
    </row>
    <row r="646" spans="1:17">
      <c r="A646" s="58"/>
      <c r="B646" s="57"/>
      <c r="C646" s="2821" t="s">
        <v>22</v>
      </c>
      <c r="D646" s="2822"/>
      <c r="E646" s="2822"/>
      <c r="F646" s="132">
        <f>SUM(F639:F645)</f>
        <v>100</v>
      </c>
      <c r="G646" s="133"/>
      <c r="H646" s="134"/>
      <c r="I646" s="135"/>
      <c r="J646" s="134"/>
      <c r="K646" s="134"/>
      <c r="L646" s="2287"/>
      <c r="M646" s="58"/>
      <c r="N646" s="58"/>
      <c r="O646" s="58"/>
      <c r="P646" s="58"/>
      <c r="Q646" s="58"/>
    </row>
    <row r="647" spans="1:17">
      <c r="A647" s="58"/>
      <c r="B647" s="57"/>
      <c r="C647" s="2288"/>
      <c r="D647" s="136"/>
      <c r="E647" s="136"/>
      <c r="F647" s="137"/>
      <c r="G647" s="138"/>
      <c r="H647" s="138"/>
      <c r="I647" s="125"/>
      <c r="J647" s="138"/>
      <c r="K647" s="138"/>
      <c r="L647" s="2289"/>
      <c r="M647" s="58"/>
      <c r="N647" s="58"/>
      <c r="O647" s="58"/>
      <c r="P647" s="58"/>
      <c r="Q647" s="58"/>
    </row>
    <row r="648" spans="1:17">
      <c r="A648" s="58"/>
      <c r="B648" s="57"/>
      <c r="C648" s="57"/>
      <c r="D648" s="57"/>
      <c r="E648" s="57"/>
      <c r="F648" s="57"/>
      <c r="G648" s="57"/>
      <c r="H648" s="57"/>
      <c r="I648" s="57"/>
      <c r="J648" s="57"/>
      <c r="K648" s="57"/>
      <c r="L648" s="57"/>
      <c r="M648" s="58"/>
      <c r="N648" s="58"/>
      <c r="O648" s="58"/>
      <c r="P648" s="58"/>
      <c r="Q648" s="58"/>
    </row>
    <row r="649" spans="1:17" ht="15.75" thickBot="1">
      <c r="A649" s="58"/>
      <c r="B649" s="57"/>
      <c r="C649" s="57"/>
      <c r="D649" s="57"/>
      <c r="E649" s="57"/>
      <c r="F649" s="57"/>
      <c r="G649" s="57"/>
      <c r="H649" s="57"/>
      <c r="I649" s="57"/>
      <c r="J649" s="57"/>
      <c r="K649" s="57"/>
      <c r="L649" s="57"/>
      <c r="M649" s="58"/>
      <c r="N649" s="58"/>
      <c r="O649" s="58"/>
      <c r="P649" s="58"/>
      <c r="Q649" s="58"/>
    </row>
    <row r="650" spans="1:17" ht="18.75">
      <c r="A650" s="58"/>
      <c r="B650" s="57"/>
      <c r="C650" s="2823" t="s">
        <v>250</v>
      </c>
      <c r="D650" s="2824"/>
      <c r="E650" s="2824"/>
      <c r="F650" s="2824"/>
      <c r="G650" s="2824"/>
      <c r="H650" s="2824"/>
      <c r="I650" s="2824"/>
      <c r="J650" s="2824"/>
      <c r="K650" s="2824"/>
      <c r="L650" s="2825"/>
      <c r="M650" s="58"/>
      <c r="N650" s="58"/>
      <c r="O650" s="58"/>
      <c r="P650" s="58"/>
      <c r="Q650" s="58"/>
    </row>
    <row r="651" spans="1:17">
      <c r="A651" s="58"/>
      <c r="B651" s="57"/>
      <c r="C651" s="2826" t="s">
        <v>251</v>
      </c>
      <c r="D651" s="2827"/>
      <c r="E651" s="2827"/>
      <c r="F651" s="2827"/>
      <c r="G651" s="2827"/>
      <c r="H651" s="2827"/>
      <c r="I651" s="2827"/>
      <c r="J651" s="2827"/>
      <c r="K651" s="2827"/>
      <c r="L651" s="2828"/>
      <c r="M651" s="58"/>
      <c r="N651" s="58"/>
      <c r="O651" s="58"/>
      <c r="P651" s="58"/>
      <c r="Q651" s="58"/>
    </row>
    <row r="652" spans="1:17" ht="18">
      <c r="A652" s="58"/>
      <c r="B652" s="57"/>
      <c r="C652" s="2829" t="s">
        <v>252</v>
      </c>
      <c r="D652" s="2830"/>
      <c r="E652" s="2830"/>
      <c r="F652" s="2830"/>
      <c r="G652" s="2830"/>
      <c r="H652" s="2830"/>
      <c r="I652" s="2830"/>
      <c r="J652" s="2830"/>
      <c r="K652" s="2830"/>
      <c r="L652" s="2831"/>
      <c r="M652" s="58"/>
      <c r="N652" s="58"/>
      <c r="O652" s="58"/>
      <c r="P652" s="58"/>
      <c r="Q652" s="58"/>
    </row>
    <row r="653" spans="1:17">
      <c r="A653" s="58"/>
      <c r="B653" s="57"/>
      <c r="C653" s="2832" t="str">
        <f ca="1">CELL("nomfichier")</f>
        <v>F:\Bureau\pour UPRT 5 decembre\[re-boudins-blancs.xlsx]CONTENU</v>
      </c>
      <c r="D653" s="2833"/>
      <c r="E653" s="2833"/>
      <c r="F653" s="2833"/>
      <c r="G653" s="2833"/>
      <c r="H653" s="2833"/>
      <c r="I653" s="2833"/>
      <c r="J653" s="2833"/>
      <c r="K653" s="2833"/>
      <c r="L653" s="2834"/>
      <c r="M653" s="58"/>
      <c r="N653" s="58"/>
      <c r="O653" s="58"/>
      <c r="P653" s="58"/>
      <c r="Q653" s="58"/>
    </row>
    <row r="654" spans="1:17" ht="26.25">
      <c r="A654" s="58"/>
      <c r="B654" s="57"/>
      <c r="C654" s="2835" t="s">
        <v>253</v>
      </c>
      <c r="D654" s="2836"/>
      <c r="E654" s="2836"/>
      <c r="F654" s="2836"/>
      <c r="G654" s="2836"/>
      <c r="H654" s="2836"/>
      <c r="I654" s="2836"/>
      <c r="J654" s="2836"/>
      <c r="K654" s="2836"/>
      <c r="L654" s="2837"/>
      <c r="M654" s="58"/>
      <c r="N654" s="58"/>
      <c r="O654" s="58"/>
      <c r="P654" s="58"/>
      <c r="Q654" s="58"/>
    </row>
    <row r="655" spans="1:17" ht="26.25">
      <c r="A655" s="58"/>
      <c r="B655" s="57"/>
      <c r="C655" s="139"/>
      <c r="D655" s="140"/>
      <c r="E655" s="140" t="s">
        <v>254</v>
      </c>
      <c r="F655" s="135"/>
      <c r="G655" s="141">
        <f ca="1">TODAY()</f>
        <v>43100</v>
      </c>
      <c r="H655" s="142"/>
      <c r="I655" s="143"/>
      <c r="J655" s="144">
        <f ca="1">NOW()</f>
        <v>43100.797994907407</v>
      </c>
      <c r="K655" s="144"/>
      <c r="L655" s="145"/>
      <c r="M655" s="58"/>
      <c r="N655" s="58"/>
      <c r="O655" s="58"/>
      <c r="P655" s="58"/>
      <c r="Q655" s="58"/>
    </row>
    <row r="656" spans="1:17" ht="15.75">
      <c r="A656" s="58"/>
      <c r="B656" s="57"/>
      <c r="C656" s="2819">
        <v>1</v>
      </c>
      <c r="D656" s="146" t="s">
        <v>255</v>
      </c>
      <c r="E656" s="102"/>
      <c r="F656" s="135"/>
      <c r="G656" s="147"/>
      <c r="H656" s="147"/>
      <c r="I656" s="147"/>
      <c r="J656" s="147"/>
      <c r="K656" s="147"/>
      <c r="L656" s="148"/>
      <c r="M656" s="58"/>
      <c r="N656" s="58"/>
      <c r="O656" s="58"/>
      <c r="P656" s="58"/>
      <c r="Q656" s="58"/>
    </row>
    <row r="657" spans="1:17">
      <c r="A657" s="58"/>
      <c r="B657" s="57"/>
      <c r="C657" s="2819"/>
      <c r="D657" s="2820" t="s">
        <v>256</v>
      </c>
      <c r="E657" s="2820"/>
      <c r="F657" s="2820"/>
      <c r="G657" s="149"/>
      <c r="H657" s="150" t="s">
        <v>228</v>
      </c>
      <c r="I657" s="151" t="s">
        <v>229</v>
      </c>
      <c r="J657" s="151" t="s">
        <v>230</v>
      </c>
      <c r="K657" s="151" t="s">
        <v>215</v>
      </c>
      <c r="L657" s="152" t="s">
        <v>257</v>
      </c>
      <c r="M657" s="58"/>
      <c r="N657" s="58"/>
      <c r="O657" s="58"/>
      <c r="P657" s="58"/>
      <c r="Q657" s="58"/>
    </row>
    <row r="658" spans="1:17" ht="15.75">
      <c r="A658" s="58"/>
      <c r="B658" s="57"/>
      <c r="C658" s="2819"/>
      <c r="D658" s="2820" t="s">
        <v>258</v>
      </c>
      <c r="E658" s="2820"/>
      <c r="F658" s="2820"/>
      <c r="G658" s="153">
        <f>SUM(H658:L658)</f>
        <v>2170</v>
      </c>
      <c r="H658" s="154">
        <v>550</v>
      </c>
      <c r="I658" s="154">
        <v>920</v>
      </c>
      <c r="J658" s="154">
        <v>340</v>
      </c>
      <c r="K658" s="154">
        <v>150</v>
      </c>
      <c r="L658" s="155">
        <v>210</v>
      </c>
      <c r="M658" s="58"/>
      <c r="N658" s="58"/>
      <c r="O658" s="58"/>
      <c r="P658" s="58"/>
      <c r="Q658" s="58"/>
    </row>
    <row r="659" spans="1:17" ht="15.75">
      <c r="A659" s="58"/>
      <c r="B659" s="57"/>
      <c r="C659" s="156"/>
      <c r="D659" s="2053"/>
      <c r="E659" s="2053"/>
      <c r="F659" s="2053"/>
      <c r="G659" s="153"/>
      <c r="H659" s="157"/>
      <c r="I659" s="157"/>
      <c r="J659" s="157"/>
      <c r="K659" s="157"/>
      <c r="L659" s="158"/>
      <c r="M659" s="58"/>
      <c r="N659" s="58"/>
      <c r="O659" s="58"/>
      <c r="P659" s="58"/>
      <c r="Q659" s="58"/>
    </row>
    <row r="660" spans="1:17" ht="15.75">
      <c r="A660" s="58"/>
      <c r="B660" s="57"/>
      <c r="C660" s="2819">
        <v>2</v>
      </c>
      <c r="D660" s="146" t="s">
        <v>259</v>
      </c>
      <c r="E660" s="102"/>
      <c r="F660" s="135"/>
      <c r="G660" s="102"/>
      <c r="H660" s="102"/>
      <c r="I660" s="102"/>
      <c r="J660" s="102"/>
      <c r="K660" s="102"/>
      <c r="L660" s="159"/>
      <c r="M660" s="58"/>
      <c r="N660" s="58"/>
      <c r="O660" s="58"/>
      <c r="P660" s="58"/>
      <c r="Q660" s="58"/>
    </row>
    <row r="661" spans="1:17">
      <c r="A661" s="58"/>
      <c r="B661" s="57"/>
      <c r="C661" s="2819"/>
      <c r="D661" s="2809" t="s">
        <v>260</v>
      </c>
      <c r="E661" s="2809"/>
      <c r="F661" s="2809"/>
      <c r="G661" s="160">
        <f>(H661*H658)+(I661*I658)+(J661*J658)+(K661*K658)+(L661*L658)</f>
        <v>1470</v>
      </c>
      <c r="H661" s="161">
        <v>0</v>
      </c>
      <c r="I661" s="161">
        <v>1</v>
      </c>
      <c r="J661" s="161">
        <v>1</v>
      </c>
      <c r="K661" s="161">
        <v>0</v>
      </c>
      <c r="L661" s="162">
        <v>1</v>
      </c>
      <c r="M661" s="58"/>
      <c r="N661" s="58"/>
      <c r="O661" s="58"/>
      <c r="P661" s="58"/>
      <c r="Q661" s="58"/>
    </row>
    <row r="662" spans="1:17">
      <c r="A662" s="58"/>
      <c r="B662" s="57"/>
      <c r="C662" s="2819"/>
      <c r="D662" s="2809" t="s">
        <v>261</v>
      </c>
      <c r="E662" s="2809"/>
      <c r="F662" s="2809"/>
      <c r="G662" s="160">
        <f>(H662*H658)+(I662*I658)+(J662*J658)+(K662*K658)+(L662*L658)</f>
        <v>850</v>
      </c>
      <c r="H662" s="161">
        <v>1</v>
      </c>
      <c r="I662" s="161">
        <v>0</v>
      </c>
      <c r="J662" s="161">
        <v>0</v>
      </c>
      <c r="K662" s="161">
        <v>2</v>
      </c>
      <c r="L662" s="162">
        <v>0</v>
      </c>
      <c r="M662" s="58"/>
      <c r="N662" s="58"/>
      <c r="O662" s="58"/>
      <c r="P662" s="58"/>
      <c r="Q662" s="58"/>
    </row>
    <row r="663" spans="1:17">
      <c r="A663" s="58"/>
      <c r="B663" s="57"/>
      <c r="C663" s="2819"/>
      <c r="D663" s="2809" t="s">
        <v>262</v>
      </c>
      <c r="E663" s="2809"/>
      <c r="F663" s="2809"/>
      <c r="G663" s="160">
        <f>(H663*H658)+(I663*I658)+(J663*J658)+(K663*K658)+(L663*L658)</f>
        <v>1895</v>
      </c>
      <c r="H663" s="163">
        <v>0.5</v>
      </c>
      <c r="I663" s="161">
        <v>1</v>
      </c>
      <c r="J663" s="161">
        <v>1</v>
      </c>
      <c r="K663" s="161">
        <v>1</v>
      </c>
      <c r="L663" s="162">
        <v>1</v>
      </c>
      <c r="M663" s="58"/>
      <c r="N663" s="58"/>
      <c r="O663" s="58"/>
      <c r="P663" s="58"/>
      <c r="Q663" s="58"/>
    </row>
    <row r="664" spans="1:17">
      <c r="A664" s="58"/>
      <c r="B664" s="57"/>
      <c r="C664" s="2819"/>
      <c r="D664" s="2809" t="s">
        <v>263</v>
      </c>
      <c r="E664" s="2809"/>
      <c r="F664" s="2809"/>
      <c r="G664" s="160">
        <f>(H664*H658)+(I664*I658)+(J664*J658)+(K664*K658)+(L664*L658)</f>
        <v>1190</v>
      </c>
      <c r="H664" s="161">
        <v>0</v>
      </c>
      <c r="I664" s="161">
        <v>0</v>
      </c>
      <c r="J664" s="161">
        <v>2</v>
      </c>
      <c r="K664" s="161">
        <v>2</v>
      </c>
      <c r="L664" s="162">
        <v>1</v>
      </c>
      <c r="M664" s="58"/>
      <c r="N664" s="58"/>
      <c r="O664" s="58"/>
      <c r="P664" s="58"/>
      <c r="Q664" s="58"/>
    </row>
    <row r="665" spans="1:17">
      <c r="A665" s="58"/>
      <c r="B665" s="57"/>
      <c r="C665" s="2819"/>
      <c r="D665" s="2809" t="s">
        <v>264</v>
      </c>
      <c r="E665" s="2809"/>
      <c r="F665" s="2809"/>
      <c r="G665" s="160">
        <f>(H665*H658)+(I665*I658)+(J665*J658)+(K665*K658)+(L665*L658)</f>
        <v>2540</v>
      </c>
      <c r="H665" s="161">
        <v>1</v>
      </c>
      <c r="I665" s="161">
        <v>2</v>
      </c>
      <c r="J665" s="161">
        <v>0</v>
      </c>
      <c r="K665" s="161">
        <v>1</v>
      </c>
      <c r="L665" s="162">
        <v>0</v>
      </c>
      <c r="M665" s="58"/>
      <c r="N665" s="58"/>
      <c r="O665" s="58"/>
      <c r="P665" s="58"/>
      <c r="Q665" s="58"/>
    </row>
    <row r="666" spans="1:17" ht="15.75">
      <c r="A666" s="58"/>
      <c r="B666" s="57"/>
      <c r="C666" s="156"/>
      <c r="D666" s="164"/>
      <c r="E666" s="102"/>
      <c r="F666" s="135"/>
      <c r="G666" s="160"/>
      <c r="H666" s="150" t="s">
        <v>228</v>
      </c>
      <c r="I666" s="151" t="s">
        <v>229</v>
      </c>
      <c r="J666" s="151" t="s">
        <v>230</v>
      </c>
      <c r="K666" s="151" t="s">
        <v>215</v>
      </c>
      <c r="L666" s="152" t="s">
        <v>257</v>
      </c>
      <c r="M666" s="58"/>
      <c r="N666" s="58"/>
      <c r="O666" s="58"/>
      <c r="P666" s="58"/>
      <c r="Q666" s="58"/>
    </row>
    <row r="667" spans="1:17" ht="15.75">
      <c r="A667" s="58"/>
      <c r="B667" s="57"/>
      <c r="C667" s="156"/>
      <c r="D667" s="164"/>
      <c r="E667" s="102"/>
      <c r="F667" s="135"/>
      <c r="G667" s="165" t="s">
        <v>265</v>
      </c>
      <c r="H667" s="166">
        <f>SUM(H661:H666)</f>
        <v>2.5</v>
      </c>
      <c r="I667" s="166">
        <f>SUM(I661:I666)</f>
        <v>4</v>
      </c>
      <c r="J667" s="166">
        <f>SUM(J661:J666)</f>
        <v>4</v>
      </c>
      <c r="K667" s="166">
        <f>SUM(K661:K666)</f>
        <v>6</v>
      </c>
      <c r="L667" s="167">
        <f>SUM(L661:L666)</f>
        <v>3</v>
      </c>
      <c r="M667" s="58"/>
      <c r="N667" s="58"/>
      <c r="O667" s="58"/>
      <c r="P667" s="58"/>
      <c r="Q667" s="58"/>
    </row>
    <row r="668" spans="1:17">
      <c r="A668" s="58"/>
      <c r="B668" s="57"/>
      <c r="C668" s="168"/>
      <c r="D668" s="164"/>
      <c r="E668" s="102"/>
      <c r="F668" s="135"/>
      <c r="G668" s="2051"/>
      <c r="H668" s="169"/>
      <c r="I668" s="169"/>
      <c r="J668" s="169"/>
      <c r="K668" s="169"/>
      <c r="L668" s="170"/>
      <c r="M668" s="58"/>
      <c r="N668" s="58"/>
      <c r="O668" s="58"/>
      <c r="P668" s="58"/>
      <c r="Q668" s="58"/>
    </row>
    <row r="669" spans="1:17" ht="15.75">
      <c r="A669" s="58"/>
      <c r="B669" s="57"/>
      <c r="C669" s="2052">
        <v>3</v>
      </c>
      <c r="D669" s="2809" t="s">
        <v>266</v>
      </c>
      <c r="E669" s="2809"/>
      <c r="F669" s="2809"/>
      <c r="G669" s="171">
        <f>(H669*H658)+(I669*I658)+(J669*J658)+(K669*K658)+(L669*L658)</f>
        <v>208.60000000000002</v>
      </c>
      <c r="H669" s="172">
        <v>0.06</v>
      </c>
      <c r="I669" s="172">
        <v>0.08</v>
      </c>
      <c r="J669" s="172">
        <v>0.15</v>
      </c>
      <c r="K669" s="172">
        <v>0.2</v>
      </c>
      <c r="L669" s="173">
        <v>0.1</v>
      </c>
      <c r="M669" s="58"/>
      <c r="N669" s="58"/>
      <c r="O669" s="58"/>
      <c r="P669" s="58"/>
      <c r="Q669" s="58"/>
    </row>
    <row r="670" spans="1:17">
      <c r="A670" s="58"/>
      <c r="B670" s="57"/>
      <c r="C670" s="168"/>
      <c r="D670" s="174"/>
      <c r="E670" s="175"/>
      <c r="F670" s="176"/>
      <c r="G670" s="160"/>
      <c r="H670" s="169"/>
      <c r="I670" s="169"/>
      <c r="J670" s="169"/>
      <c r="K670" s="169"/>
      <c r="L670" s="170"/>
      <c r="M670" s="58"/>
      <c r="N670" s="58"/>
      <c r="O670" s="58"/>
      <c r="P670" s="58"/>
      <c r="Q670" s="58"/>
    </row>
    <row r="671" spans="1:17" ht="15.75">
      <c r="A671" s="58"/>
      <c r="B671" s="57"/>
      <c r="C671" s="2052">
        <v>4</v>
      </c>
      <c r="D671" s="2809" t="s">
        <v>267</v>
      </c>
      <c r="E671" s="2809"/>
      <c r="F671" s="2809"/>
      <c r="G671" s="171">
        <f>(H671*H658)+(I671*I658)+(J671*J658)+(K671*K658)+(L671*L658)</f>
        <v>213.5</v>
      </c>
      <c r="H671" s="172">
        <v>0.06</v>
      </c>
      <c r="I671" s="172">
        <v>0.1</v>
      </c>
      <c r="J671" s="172">
        <v>0.12</v>
      </c>
      <c r="K671" s="172">
        <v>0.15</v>
      </c>
      <c r="L671" s="173">
        <v>0.12</v>
      </c>
      <c r="M671" s="58"/>
      <c r="N671" s="58"/>
      <c r="O671" s="58"/>
      <c r="P671" s="58"/>
      <c r="Q671" s="58"/>
    </row>
    <row r="672" spans="1:17">
      <c r="A672" s="58"/>
      <c r="B672" s="57"/>
      <c r="C672" s="168"/>
      <c r="D672" s="174"/>
      <c r="E672" s="175"/>
      <c r="F672" s="176"/>
      <c r="G672" s="160"/>
      <c r="H672" s="169"/>
      <c r="I672" s="169"/>
      <c r="J672" s="169"/>
      <c r="K672" s="169"/>
      <c r="L672" s="170"/>
      <c r="M672" s="58"/>
      <c r="N672" s="58"/>
      <c r="O672" s="58"/>
      <c r="P672" s="58"/>
      <c r="Q672" s="58"/>
    </row>
    <row r="673" spans="1:17" ht="15.75">
      <c r="A673" s="58"/>
      <c r="B673" s="57"/>
      <c r="C673" s="2052">
        <v>5</v>
      </c>
      <c r="D673" s="2809" t="s">
        <v>198</v>
      </c>
      <c r="E673" s="2809"/>
      <c r="F673" s="2809"/>
      <c r="G673" s="171">
        <f>(H673*H658)+(I673*I658)+(J673*J658)+(K673*K658)+(L673*L658)</f>
        <v>237.5</v>
      </c>
      <c r="H673" s="172">
        <v>0.06</v>
      </c>
      <c r="I673" s="172">
        <v>0.1</v>
      </c>
      <c r="J673" s="172">
        <v>0.15</v>
      </c>
      <c r="K673" s="172">
        <v>0.2</v>
      </c>
      <c r="L673" s="173">
        <v>0.15</v>
      </c>
      <c r="M673" s="58"/>
      <c r="N673" s="58"/>
      <c r="O673" s="58"/>
      <c r="P673" s="58"/>
      <c r="Q673" s="58"/>
    </row>
    <row r="674" spans="1:17" ht="15.75" thickBot="1">
      <c r="A674" s="58"/>
      <c r="B674" s="57"/>
      <c r="C674" s="1713"/>
      <c r="D674" s="177"/>
      <c r="E674" s="178"/>
      <c r="F674" s="179"/>
      <c r="G674" s="180"/>
      <c r="H674" s="181"/>
      <c r="I674" s="181"/>
      <c r="J674" s="178"/>
      <c r="K674" s="178"/>
      <c r="L674" s="1714"/>
      <c r="M674" s="58"/>
      <c r="N674" s="58"/>
      <c r="O674" s="58"/>
      <c r="P674" s="58"/>
      <c r="Q674" s="58"/>
    </row>
    <row r="675" spans="1:17">
      <c r="A675" s="58"/>
      <c r="B675" s="57"/>
      <c r="C675" s="57"/>
      <c r="D675" s="57"/>
      <c r="E675" s="57"/>
      <c r="F675" s="57"/>
      <c r="G675" s="57"/>
      <c r="H675" s="57"/>
      <c r="I675" s="57"/>
      <c r="J675" s="57"/>
      <c r="K675" s="57"/>
      <c r="L675" s="57"/>
      <c r="M675" s="58"/>
      <c r="N675" s="58"/>
      <c r="O675" s="58"/>
      <c r="P675" s="58"/>
      <c r="Q675" s="58"/>
    </row>
    <row r="676" spans="1:17">
      <c r="A676" s="1647"/>
      <c r="B676" s="1648"/>
      <c r="C676" s="1649"/>
      <c r="D676" s="1649"/>
      <c r="E676" s="1649"/>
      <c r="F676" s="1649"/>
      <c r="G676" s="1649"/>
      <c r="H676" s="1649"/>
      <c r="I676" s="1649"/>
      <c r="J676" s="1648"/>
      <c r="K676" s="1648"/>
      <c r="L676" s="1648"/>
      <c r="M676" s="1647"/>
      <c r="N676" s="1647"/>
      <c r="O676" s="1647"/>
      <c r="P676" s="1647"/>
      <c r="Q676" s="1647"/>
    </row>
    <row r="677" spans="1:17" ht="15.75" thickBot="1">
      <c r="A677" s="58"/>
      <c r="B677" s="57"/>
      <c r="C677" s="57"/>
      <c r="D677" s="57"/>
      <c r="E677" s="57"/>
      <c r="F677" s="57"/>
      <c r="G677" s="57"/>
      <c r="H677" s="57"/>
      <c r="I677" s="57"/>
      <c r="J677" s="57"/>
      <c r="K677" s="57"/>
      <c r="L677" s="57"/>
      <c r="M677" s="58"/>
      <c r="N677" s="58"/>
      <c r="O677" s="58"/>
      <c r="P677" s="58"/>
      <c r="Q677" s="58"/>
    </row>
    <row r="678" spans="1:17" ht="18">
      <c r="A678" s="58"/>
      <c r="B678" s="57"/>
      <c r="C678" s="2810" t="s">
        <v>268</v>
      </c>
      <c r="D678" s="2811"/>
      <c r="E678" s="2811"/>
      <c r="F678" s="2811"/>
      <c r="G678" s="2811"/>
      <c r="H678" s="2811"/>
      <c r="I678" s="2811"/>
      <c r="J678" s="2811"/>
      <c r="K678" s="2811"/>
      <c r="L678" s="2812"/>
      <c r="M678" s="58"/>
      <c r="N678" s="58"/>
      <c r="O678" s="58"/>
      <c r="P678" s="58"/>
      <c r="Q678" s="58"/>
    </row>
    <row r="679" spans="1:17">
      <c r="A679" s="58"/>
      <c r="B679" s="57"/>
      <c r="C679" s="182" t="s">
        <v>269</v>
      </c>
      <c r="D679" s="183"/>
      <c r="E679" s="183"/>
      <c r="F679" s="183"/>
      <c r="G679" s="183"/>
      <c r="H679" s="183"/>
      <c r="I679" s="183"/>
      <c r="J679" s="184"/>
      <c r="K679" s="184"/>
      <c r="L679" s="185"/>
      <c r="M679" s="58"/>
      <c r="N679" s="58"/>
      <c r="O679" s="58"/>
      <c r="P679" s="58"/>
      <c r="Q679" s="58"/>
    </row>
    <row r="680" spans="1:17">
      <c r="A680" s="58"/>
      <c r="B680" s="57"/>
      <c r="C680" s="2813" t="s">
        <v>270</v>
      </c>
      <c r="D680" s="2814"/>
      <c r="E680" s="2814"/>
      <c r="F680" s="2814"/>
      <c r="G680" s="2814"/>
      <c r="H680" s="2814"/>
      <c r="I680" s="2814"/>
      <c r="J680" s="2814"/>
      <c r="K680" s="2814"/>
      <c r="L680" s="2815"/>
      <c r="M680" s="58"/>
      <c r="N680" s="58"/>
      <c r="O680" s="58"/>
      <c r="P680" s="58"/>
      <c r="Q680" s="58"/>
    </row>
    <row r="681" spans="1:17">
      <c r="A681" s="58"/>
      <c r="B681" s="57"/>
      <c r="C681" s="2813"/>
      <c r="D681" s="2814"/>
      <c r="E681" s="2814"/>
      <c r="F681" s="2814"/>
      <c r="G681" s="2814"/>
      <c r="H681" s="2814"/>
      <c r="I681" s="2814"/>
      <c r="J681" s="2814"/>
      <c r="K681" s="2814"/>
      <c r="L681" s="2815"/>
      <c r="M681" s="58"/>
      <c r="N681" s="58"/>
      <c r="O681" s="58"/>
      <c r="P681" s="58"/>
      <c r="Q681" s="58"/>
    </row>
    <row r="682" spans="1:17">
      <c r="A682" s="58"/>
      <c r="B682" s="57"/>
      <c r="C682" s="2813"/>
      <c r="D682" s="2814"/>
      <c r="E682" s="2814"/>
      <c r="F682" s="2814"/>
      <c r="G682" s="2814"/>
      <c r="H682" s="2814"/>
      <c r="I682" s="2814"/>
      <c r="J682" s="2814"/>
      <c r="K682" s="2814"/>
      <c r="L682" s="2815"/>
      <c r="M682" s="58"/>
      <c r="N682" s="58"/>
      <c r="O682" s="58"/>
      <c r="P682" s="58"/>
      <c r="Q682" s="58"/>
    </row>
    <row r="683" spans="1:17">
      <c r="A683" s="58"/>
      <c r="B683" s="57"/>
      <c r="C683" s="2813"/>
      <c r="D683" s="2814"/>
      <c r="E683" s="2814"/>
      <c r="F683" s="2814"/>
      <c r="G683" s="2814"/>
      <c r="H683" s="2814"/>
      <c r="I683" s="2814"/>
      <c r="J683" s="2814"/>
      <c r="K683" s="2814"/>
      <c r="L683" s="2815"/>
      <c r="M683" s="58"/>
      <c r="N683" s="58"/>
      <c r="O683" s="58"/>
      <c r="P683" s="58"/>
      <c r="Q683" s="58"/>
    </row>
    <row r="684" spans="1:17">
      <c r="A684" s="58"/>
      <c r="B684" s="57"/>
      <c r="C684" s="2813" t="s">
        <v>271</v>
      </c>
      <c r="D684" s="2814"/>
      <c r="E684" s="2814"/>
      <c r="F684" s="2814"/>
      <c r="G684" s="2814"/>
      <c r="H684" s="2814"/>
      <c r="I684" s="2814"/>
      <c r="J684" s="2814"/>
      <c r="K684" s="2814"/>
      <c r="L684" s="2815"/>
      <c r="M684" s="58"/>
      <c r="N684" s="58"/>
      <c r="O684" s="58"/>
      <c r="P684" s="58"/>
      <c r="Q684" s="58"/>
    </row>
    <row r="685" spans="1:17">
      <c r="A685" s="58"/>
      <c r="B685" s="57"/>
      <c r="C685" s="2813"/>
      <c r="D685" s="2814"/>
      <c r="E685" s="2814"/>
      <c r="F685" s="2814"/>
      <c r="G685" s="2814"/>
      <c r="H685" s="2814"/>
      <c r="I685" s="2814"/>
      <c r="J685" s="2814"/>
      <c r="K685" s="2814"/>
      <c r="L685" s="2815"/>
      <c r="M685" s="58"/>
      <c r="N685" s="58"/>
      <c r="O685" s="58"/>
      <c r="P685" s="58"/>
      <c r="Q685" s="58"/>
    </row>
    <row r="686" spans="1:17">
      <c r="A686" s="58"/>
      <c r="B686" s="57"/>
      <c r="C686" s="2813"/>
      <c r="D686" s="2814"/>
      <c r="E686" s="2814"/>
      <c r="F686" s="2814"/>
      <c r="G686" s="2814"/>
      <c r="H686" s="2814"/>
      <c r="I686" s="2814"/>
      <c r="J686" s="2814"/>
      <c r="K686" s="2814"/>
      <c r="L686" s="2815"/>
      <c r="M686" s="58"/>
      <c r="N686" s="58"/>
      <c r="O686" s="58"/>
      <c r="P686" s="58"/>
      <c r="Q686" s="58"/>
    </row>
    <row r="687" spans="1:17">
      <c r="A687" s="58"/>
      <c r="B687" s="57"/>
      <c r="C687" s="2816"/>
      <c r="D687" s="2817"/>
      <c r="E687" s="2817"/>
      <c r="F687" s="2817"/>
      <c r="G687" s="2817"/>
      <c r="H687" s="2817"/>
      <c r="I687" s="2817"/>
      <c r="J687" s="2817"/>
      <c r="K687" s="2817"/>
      <c r="L687" s="2818"/>
      <c r="M687" s="58"/>
      <c r="N687" s="58"/>
      <c r="O687" s="58"/>
      <c r="P687" s="58"/>
      <c r="Q687" s="58"/>
    </row>
    <row r="688" spans="1:17">
      <c r="A688" s="58"/>
      <c r="B688" s="57"/>
      <c r="C688" s="2800" t="s">
        <v>272</v>
      </c>
      <c r="D688" s="2801"/>
      <c r="E688" s="2801"/>
      <c r="F688" s="2801"/>
      <c r="G688" s="2802" t="s">
        <v>273</v>
      </c>
      <c r="H688" s="2802"/>
      <c r="I688" s="2803">
        <v>0.09</v>
      </c>
      <c r="J688" s="2804" t="s">
        <v>274</v>
      </c>
      <c r="K688" s="2804"/>
      <c r="L688" s="2805">
        <v>0.12</v>
      </c>
      <c r="M688" s="58"/>
      <c r="N688" s="58"/>
      <c r="O688" s="58"/>
      <c r="P688" s="58"/>
      <c r="Q688" s="58"/>
    </row>
    <row r="689" spans="1:17">
      <c r="A689" s="58"/>
      <c r="B689" s="57"/>
      <c r="C689" s="2800"/>
      <c r="D689" s="2801"/>
      <c r="E689" s="2801"/>
      <c r="F689" s="2801"/>
      <c r="G689" s="2802"/>
      <c r="H689" s="2802"/>
      <c r="I689" s="2803"/>
      <c r="J689" s="2804"/>
      <c r="K689" s="2804"/>
      <c r="L689" s="2805"/>
      <c r="M689" s="58"/>
      <c r="N689" s="58"/>
      <c r="O689" s="58"/>
      <c r="P689" s="58"/>
      <c r="Q689" s="58"/>
    </row>
    <row r="690" spans="1:17" ht="18">
      <c r="A690" s="58"/>
      <c r="B690" s="57"/>
      <c r="C690" s="186"/>
      <c r="D690" s="187"/>
      <c r="E690" s="187"/>
      <c r="F690" s="187"/>
      <c r="G690" s="2054"/>
      <c r="H690" s="2054"/>
      <c r="I690" s="188"/>
      <c r="J690" s="2055"/>
      <c r="K690" s="2055"/>
      <c r="L690" s="189"/>
      <c r="M690" s="58"/>
      <c r="N690" s="58"/>
      <c r="O690" s="58"/>
      <c r="P690" s="58"/>
      <c r="Q690" s="58"/>
    </row>
    <row r="691" spans="1:17">
      <c r="A691" s="58"/>
      <c r="B691" s="57"/>
      <c r="C691" s="2806" t="str">
        <f>IF(E691="","produit à servir","produits entiers à couper en ")</f>
        <v xml:space="preserve">produits entiers à couper en </v>
      </c>
      <c r="D691" s="2807"/>
      <c r="E691" s="2808">
        <f>IF(K698=1,"",K698)</f>
        <v>1.5</v>
      </c>
      <c r="F691" s="2797">
        <f>LARGE(F699:F703,1)</f>
        <v>3</v>
      </c>
      <c r="G691" s="2797" t="s">
        <v>275</v>
      </c>
      <c r="H691" s="2797" t="s">
        <v>84</v>
      </c>
      <c r="I691" s="2797">
        <f>LARGE(G699:G703,1)</f>
        <v>2</v>
      </c>
      <c r="J691" s="2797" t="s">
        <v>276</v>
      </c>
      <c r="K691" s="190"/>
      <c r="L691" s="191"/>
      <c r="M691" s="58"/>
      <c r="N691" s="58"/>
      <c r="O691" s="58"/>
      <c r="P691" s="58"/>
      <c r="Q691" s="58"/>
    </row>
    <row r="692" spans="1:17">
      <c r="A692" s="58"/>
      <c r="B692" s="57"/>
      <c r="C692" s="2806"/>
      <c r="D692" s="2807"/>
      <c r="E692" s="2808"/>
      <c r="F692" s="2797"/>
      <c r="G692" s="2797"/>
      <c r="H692" s="2797"/>
      <c r="I692" s="2797"/>
      <c r="J692" s="2797"/>
      <c r="K692" s="190"/>
      <c r="L692" s="191"/>
      <c r="M692" s="58"/>
      <c r="N692" s="58"/>
      <c r="O692" s="58"/>
      <c r="P692" s="58"/>
      <c r="Q692" s="58"/>
    </row>
    <row r="693" spans="1:17" ht="15.75">
      <c r="A693" s="58"/>
      <c r="B693" s="57"/>
      <c r="C693" s="192"/>
      <c r="D693" s="193"/>
      <c r="E693" s="194"/>
      <c r="F693" s="99"/>
      <c r="G693" s="99"/>
      <c r="H693" s="99"/>
      <c r="I693" s="99"/>
      <c r="J693" s="195"/>
      <c r="K693" s="196"/>
      <c r="L693" s="197"/>
      <c r="M693" s="58"/>
      <c r="N693" s="58"/>
      <c r="O693" s="58"/>
      <c r="P693" s="58"/>
      <c r="Q693" s="58"/>
    </row>
    <row r="694" spans="1:17">
      <c r="A694" s="58"/>
      <c r="B694" s="57"/>
      <c r="C694" s="2794" t="str">
        <f>IF(D694="","MOINS","Servir ")</f>
        <v xml:space="preserve">Servir </v>
      </c>
      <c r="D694" s="2799">
        <f>IF(F691-1=0,"",F691-1)</f>
        <v>2</v>
      </c>
      <c r="E694" s="2796" t="str">
        <f>IF(D694="","",IF(G694=1,"produits entiers de","produits coupés en "))</f>
        <v>produits entiers de</v>
      </c>
      <c r="F694" s="2796"/>
      <c r="G694" s="2799">
        <f>IF(D694="","",I691/D694)</f>
        <v>1</v>
      </c>
      <c r="H694" s="2797" t="str">
        <f>IF(D694="","","parts")</f>
        <v>parts</v>
      </c>
      <c r="I694" s="2796" t="str">
        <f>IF(D694="","","grammage unitaire")</f>
        <v>grammage unitaire</v>
      </c>
      <c r="J694" s="2796"/>
      <c r="K694" s="2792">
        <f>IF(D694="","",I688/G694)</f>
        <v>0.09</v>
      </c>
      <c r="L694" s="2793"/>
      <c r="M694" s="58"/>
      <c r="N694" s="58"/>
      <c r="O694" s="58"/>
      <c r="P694" s="58"/>
      <c r="Q694" s="58"/>
    </row>
    <row r="695" spans="1:17">
      <c r="A695" s="58"/>
      <c r="B695" s="57"/>
      <c r="C695" s="2794"/>
      <c r="D695" s="2799"/>
      <c r="E695" s="2796"/>
      <c r="F695" s="2796"/>
      <c r="G695" s="2799"/>
      <c r="H695" s="2797"/>
      <c r="I695" s="2796"/>
      <c r="J695" s="2796"/>
      <c r="K695" s="2792"/>
      <c r="L695" s="2793"/>
      <c r="M695" s="58"/>
      <c r="N695" s="58"/>
      <c r="O695" s="58"/>
      <c r="P695" s="58"/>
      <c r="Q695" s="58"/>
    </row>
    <row r="696" spans="1:17">
      <c r="A696" s="58"/>
      <c r="B696" s="57"/>
      <c r="C696" s="2794" t="str">
        <f>IF(D694="","","plus")</f>
        <v>plus</v>
      </c>
      <c r="D696" s="2795">
        <f>IF(D694="","",F691-D694)</f>
        <v>1</v>
      </c>
      <c r="E696" s="2796" t="str">
        <f>IF(D696="","","produit coupé en ")</f>
        <v xml:space="preserve">produit coupé en </v>
      </c>
      <c r="F696" s="2796"/>
      <c r="G696" s="2795">
        <f>IF(E696="","",I691)</f>
        <v>2</v>
      </c>
      <c r="H696" s="2797" t="str">
        <f>IF(E696="","","parts")</f>
        <v>parts</v>
      </c>
      <c r="I696" s="198"/>
      <c r="J696" s="2798" t="str">
        <f>IF(D696="","moins"," de")</f>
        <v xml:space="preserve"> de</v>
      </c>
      <c r="K696" s="2792">
        <f>IF(E696="",I688-L688,I688/G696)</f>
        <v>4.4999999999999998E-2</v>
      </c>
      <c r="L696" s="2793"/>
      <c r="M696" s="58"/>
      <c r="N696" s="58"/>
      <c r="O696" s="58"/>
      <c r="P696" s="58"/>
      <c r="Q696" s="58"/>
    </row>
    <row r="697" spans="1:17">
      <c r="A697" s="58"/>
      <c r="B697" s="57"/>
      <c r="C697" s="2794"/>
      <c r="D697" s="2795"/>
      <c r="E697" s="2796"/>
      <c r="F697" s="2796"/>
      <c r="G697" s="2795"/>
      <c r="H697" s="2797"/>
      <c r="I697" s="198"/>
      <c r="J697" s="2798"/>
      <c r="K697" s="2792"/>
      <c r="L697" s="2793"/>
      <c r="M697" s="58"/>
      <c r="N697" s="58"/>
      <c r="O697" s="58"/>
      <c r="P697" s="58"/>
      <c r="Q697" s="58"/>
    </row>
    <row r="698" spans="1:17" ht="22.5">
      <c r="A698" s="58"/>
      <c r="B698" s="57"/>
      <c r="C698" s="199" t="s">
        <v>277</v>
      </c>
      <c r="D698" s="200" t="s">
        <v>278</v>
      </c>
      <c r="E698" s="200" t="s">
        <v>279</v>
      </c>
      <c r="F698" s="201" t="s">
        <v>280</v>
      </c>
      <c r="G698" s="201"/>
      <c r="H698" s="202" t="s">
        <v>281</v>
      </c>
      <c r="I698" s="203" t="s">
        <v>84</v>
      </c>
      <c r="J698" s="203"/>
      <c r="K698" s="204">
        <f>LARGE(L699:L703,1)</f>
        <v>1.5</v>
      </c>
      <c r="L698" s="205">
        <f>SMALL(E699:E703,COUNTIF(E699:E703,0)+1)</f>
        <v>3.0000000000000027E-2</v>
      </c>
      <c r="M698" s="58"/>
      <c r="N698" s="58"/>
      <c r="O698" s="58"/>
      <c r="P698" s="58"/>
      <c r="Q698" s="58"/>
    </row>
    <row r="699" spans="1:17">
      <c r="A699" s="58"/>
      <c r="B699" s="57"/>
      <c r="C699" s="206">
        <f>L688*I699</f>
        <v>0</v>
      </c>
      <c r="D699" s="207">
        <f>I688*H699</f>
        <v>0.09</v>
      </c>
      <c r="E699" s="207">
        <f>D699-C699</f>
        <v>0.09</v>
      </c>
      <c r="F699" s="208">
        <f>IF(E699=L698,H699,0)</f>
        <v>0</v>
      </c>
      <c r="G699" s="208">
        <f>IF(F699&gt;0,I699,0)</f>
        <v>0</v>
      </c>
      <c r="H699" s="204">
        <v>1</v>
      </c>
      <c r="I699" s="209">
        <f>INT(J699)</f>
        <v>0</v>
      </c>
      <c r="J699" s="209">
        <f>D699/L688</f>
        <v>0.75</v>
      </c>
      <c r="K699" s="204">
        <f>IF(F699=0,0,F699/G699)</f>
        <v>0</v>
      </c>
      <c r="L699" s="210">
        <f>ROUNDDOWN(K699,1)</f>
        <v>0</v>
      </c>
      <c r="M699" s="58"/>
      <c r="N699" s="58"/>
      <c r="O699" s="58"/>
      <c r="P699" s="58"/>
      <c r="Q699" s="58"/>
    </row>
    <row r="700" spans="1:17">
      <c r="A700" s="58"/>
      <c r="B700" s="57"/>
      <c r="C700" s="206">
        <f>L688*I700</f>
        <v>0.12</v>
      </c>
      <c r="D700" s="207">
        <f>I688*H700</f>
        <v>0.18</v>
      </c>
      <c r="E700" s="207">
        <f>D700-C700</f>
        <v>0.06</v>
      </c>
      <c r="F700" s="208">
        <f>IF(E700=L698,H700,0)</f>
        <v>0</v>
      </c>
      <c r="G700" s="208">
        <f>IF(F700&gt;0,I700,0)</f>
        <v>0</v>
      </c>
      <c r="H700" s="204">
        <v>2</v>
      </c>
      <c r="I700" s="209">
        <f>INT(J700)</f>
        <v>1</v>
      </c>
      <c r="J700" s="209">
        <f>D700/L688</f>
        <v>1.5</v>
      </c>
      <c r="K700" s="204">
        <f>IF(F700=0,0,F700/G700)</f>
        <v>0</v>
      </c>
      <c r="L700" s="210">
        <f>ROUNDDOWN(K700,1)</f>
        <v>0</v>
      </c>
      <c r="M700" s="58"/>
      <c r="N700" s="58"/>
      <c r="O700" s="58"/>
      <c r="P700" s="58"/>
      <c r="Q700" s="58"/>
    </row>
    <row r="701" spans="1:17">
      <c r="A701" s="58"/>
      <c r="B701" s="57"/>
      <c r="C701" s="206">
        <f>L688*I701</f>
        <v>0.24</v>
      </c>
      <c r="D701" s="207">
        <f>I688*H701</f>
        <v>0.27</v>
      </c>
      <c r="E701" s="207">
        <f>D701-C701</f>
        <v>3.0000000000000027E-2</v>
      </c>
      <c r="F701" s="208">
        <f>IF(E701=L698,H701,0)</f>
        <v>3</v>
      </c>
      <c r="G701" s="208">
        <f>IF(F701&gt;0,I701,0)</f>
        <v>2</v>
      </c>
      <c r="H701" s="204">
        <v>3</v>
      </c>
      <c r="I701" s="209">
        <f>INT(J701)</f>
        <v>2</v>
      </c>
      <c r="J701" s="209">
        <f>D701/L688</f>
        <v>2.2500000000000004</v>
      </c>
      <c r="K701" s="204">
        <f>IF(F701=0,0,F701/G701)</f>
        <v>1.5</v>
      </c>
      <c r="L701" s="210">
        <f>ROUNDDOWN(K701,1)</f>
        <v>1.5</v>
      </c>
      <c r="M701" s="58"/>
      <c r="N701" s="58"/>
      <c r="O701" s="58"/>
      <c r="P701" s="58"/>
      <c r="Q701" s="58"/>
    </row>
    <row r="702" spans="1:17">
      <c r="A702" s="58"/>
      <c r="B702" s="57"/>
      <c r="C702" s="206">
        <f>L688*I702</f>
        <v>0.36</v>
      </c>
      <c r="D702" s="207">
        <f>I688*H702</f>
        <v>0.36</v>
      </c>
      <c r="E702" s="207">
        <f>D702-C702</f>
        <v>0</v>
      </c>
      <c r="F702" s="208">
        <f>IF(E702=L698,H702,0)</f>
        <v>0</v>
      </c>
      <c r="G702" s="208">
        <f>IF(F702&gt;0,I702,0)</f>
        <v>0</v>
      </c>
      <c r="H702" s="204">
        <v>4</v>
      </c>
      <c r="I702" s="209">
        <f>INT(J702)</f>
        <v>3</v>
      </c>
      <c r="J702" s="209">
        <f>D702/L688</f>
        <v>3</v>
      </c>
      <c r="K702" s="204">
        <f>IF(F702=0,0,F702/G702)</f>
        <v>0</v>
      </c>
      <c r="L702" s="210">
        <f>ROUNDDOWN(K702,1)</f>
        <v>0</v>
      </c>
      <c r="M702" s="58"/>
      <c r="N702" s="58"/>
      <c r="O702" s="58"/>
      <c r="P702" s="58"/>
      <c r="Q702" s="58"/>
    </row>
    <row r="703" spans="1:17" ht="15.75" thickBot="1">
      <c r="A703" s="58"/>
      <c r="B703" s="57"/>
      <c r="C703" s="1715">
        <f>L688*I703</f>
        <v>0.36</v>
      </c>
      <c r="D703" s="211">
        <f>I688*H703</f>
        <v>0.44999999999999996</v>
      </c>
      <c r="E703" s="211">
        <f>D703-C703</f>
        <v>8.9999999999999969E-2</v>
      </c>
      <c r="F703" s="212">
        <f>IF(E703=L698,H703,0)</f>
        <v>0</v>
      </c>
      <c r="G703" s="212">
        <f>IF(F703&gt;0,I703,0)</f>
        <v>0</v>
      </c>
      <c r="H703" s="213">
        <v>5</v>
      </c>
      <c r="I703" s="214">
        <f>INT(J703)</f>
        <v>3</v>
      </c>
      <c r="J703" s="214">
        <f>D703/L688</f>
        <v>3.7499999999999996</v>
      </c>
      <c r="K703" s="213">
        <f>IF(F703=0,0,F703/G703)</f>
        <v>0</v>
      </c>
      <c r="L703" s="1716">
        <f>ROUNDDOWN(K703,1)</f>
        <v>0</v>
      </c>
      <c r="M703" s="58"/>
      <c r="N703" s="58"/>
      <c r="O703" s="58"/>
      <c r="P703" s="58"/>
      <c r="Q703" s="58"/>
    </row>
    <row r="704" spans="1:17">
      <c r="A704" s="58"/>
      <c r="B704" s="57"/>
      <c r="C704" s="57"/>
      <c r="D704" s="57"/>
      <c r="E704" s="57"/>
      <c r="F704" s="57"/>
      <c r="G704" s="57"/>
      <c r="H704" s="57"/>
      <c r="I704" s="57"/>
      <c r="J704" s="57"/>
      <c r="K704" s="57"/>
      <c r="L704" s="57"/>
      <c r="M704" s="58"/>
      <c r="N704" s="58"/>
      <c r="O704" s="58"/>
      <c r="P704" s="58"/>
      <c r="Q704" s="58"/>
    </row>
    <row r="705" spans="1:17">
      <c r="A705" s="58"/>
      <c r="B705" s="57"/>
      <c r="C705" s="57"/>
      <c r="D705" s="57"/>
      <c r="E705" s="57"/>
      <c r="F705" s="57"/>
      <c r="G705" s="57"/>
      <c r="H705" s="57"/>
      <c r="I705" s="57"/>
      <c r="J705" s="57"/>
      <c r="K705" s="57"/>
      <c r="L705" s="57"/>
      <c r="M705" s="58"/>
      <c r="N705" s="58"/>
      <c r="O705" s="58"/>
      <c r="P705" s="58"/>
      <c r="Q705" s="58"/>
    </row>
    <row r="706" spans="1:17" ht="18">
      <c r="A706" s="58"/>
      <c r="B706" s="57"/>
      <c r="C706" s="2781" t="s">
        <v>282</v>
      </c>
      <c r="D706" s="2782"/>
      <c r="E706" s="2782"/>
      <c r="F706" s="2782"/>
      <c r="G706" s="2782"/>
      <c r="H706" s="2782"/>
      <c r="I706" s="2782"/>
      <c r="J706" s="2782"/>
      <c r="K706" s="2782"/>
      <c r="L706" s="2782"/>
      <c r="M706" s="2783"/>
      <c r="N706" s="58"/>
      <c r="O706" s="58"/>
      <c r="P706" s="58"/>
      <c r="Q706" s="58"/>
    </row>
    <row r="707" spans="1:17" ht="15.75">
      <c r="A707" s="58"/>
      <c r="B707" s="57"/>
      <c r="C707" s="2784" t="s">
        <v>283</v>
      </c>
      <c r="D707" s="2785"/>
      <c r="E707" s="2785"/>
      <c r="F707" s="2785"/>
      <c r="G707" s="2785"/>
      <c r="H707" s="2785"/>
      <c r="I707" s="2785"/>
      <c r="J707" s="2785"/>
      <c r="K707" s="2785"/>
      <c r="L707" s="2785"/>
      <c r="M707" s="2786"/>
      <c r="N707" s="58"/>
      <c r="O707" s="58"/>
      <c r="P707" s="58"/>
      <c r="Q707" s="58"/>
    </row>
    <row r="708" spans="1:17" ht="15.75">
      <c r="A708" s="58"/>
      <c r="B708" s="57"/>
      <c r="C708" s="2056"/>
      <c r="D708" s="215"/>
      <c r="E708" s="2787" t="s">
        <v>284</v>
      </c>
      <c r="F708" s="2787"/>
      <c r="G708" s="2787"/>
      <c r="H708" s="2787"/>
      <c r="I708" s="2787"/>
      <c r="J708" s="2787"/>
      <c r="K708" s="2787"/>
      <c r="L708" s="2787"/>
      <c r="M708" s="2788"/>
      <c r="N708" s="58"/>
      <c r="O708" s="58"/>
      <c r="P708" s="58"/>
      <c r="Q708" s="58"/>
    </row>
    <row r="709" spans="1:17">
      <c r="A709" s="58"/>
      <c r="B709" s="57"/>
      <c r="C709" s="2789" t="s">
        <v>285</v>
      </c>
      <c r="D709" s="2790"/>
      <c r="E709" s="2790"/>
      <c r="F709" s="2790"/>
      <c r="G709" s="2790"/>
      <c r="H709" s="2790"/>
      <c r="I709" s="2790"/>
      <c r="J709" s="2790"/>
      <c r="K709" s="2790"/>
      <c r="L709" s="2790"/>
      <c r="M709" s="2791"/>
      <c r="N709" s="58"/>
      <c r="O709" s="58"/>
      <c r="P709" s="58"/>
      <c r="Q709" s="58"/>
    </row>
    <row r="710" spans="1:17">
      <c r="A710" s="58"/>
      <c r="B710" s="57"/>
      <c r="C710" s="2771" t="s">
        <v>286</v>
      </c>
      <c r="D710" s="2772"/>
      <c r="E710" s="2773" t="s">
        <v>287</v>
      </c>
      <c r="F710" s="2773"/>
      <c r="G710" s="102"/>
      <c r="H710" s="135"/>
      <c r="I710" s="135"/>
      <c r="J710" s="102"/>
      <c r="K710" s="216"/>
      <c r="L710" s="102"/>
      <c r="M710" s="2290"/>
      <c r="N710" s="58"/>
      <c r="O710" s="58"/>
      <c r="P710" s="58"/>
      <c r="Q710" s="58"/>
    </row>
    <row r="711" spans="1:17">
      <c r="A711" s="58"/>
      <c r="B711" s="57"/>
      <c r="C711" s="2771"/>
      <c r="D711" s="2772"/>
      <c r="E711" s="2773"/>
      <c r="F711" s="2773"/>
      <c r="G711" s="102"/>
      <c r="H711" s="135"/>
      <c r="I711" s="135"/>
      <c r="J711" s="102"/>
      <c r="K711" s="216"/>
      <c r="L711" s="102"/>
      <c r="M711" s="2290"/>
      <c r="N711" s="58"/>
      <c r="O711" s="58"/>
      <c r="P711" s="58"/>
      <c r="Q711" s="58"/>
    </row>
    <row r="712" spans="1:17">
      <c r="A712" s="58"/>
      <c r="B712" s="57"/>
      <c r="C712" s="2757">
        <v>10</v>
      </c>
      <c r="D712" s="2758"/>
      <c r="E712" s="2758">
        <v>0.1</v>
      </c>
      <c r="F712" s="2758"/>
      <c r="G712" s="102"/>
      <c r="H712" s="135"/>
      <c r="I712" s="135"/>
      <c r="J712" s="102"/>
      <c r="K712" s="2057" t="s">
        <v>288</v>
      </c>
      <c r="L712" s="217">
        <f>C712/E712</f>
        <v>100</v>
      </c>
      <c r="M712" s="2290"/>
      <c r="N712" s="58"/>
      <c r="O712" s="58"/>
      <c r="P712" s="58"/>
      <c r="Q712" s="58"/>
    </row>
    <row r="713" spans="1:17">
      <c r="A713" s="58"/>
      <c r="B713" s="57"/>
      <c r="C713" s="2757">
        <v>1</v>
      </c>
      <c r="D713" s="2758"/>
      <c r="E713" s="2758">
        <v>7.0000000000000007E-2</v>
      </c>
      <c r="F713" s="2758"/>
      <c r="G713" s="102"/>
      <c r="H713" s="135"/>
      <c r="I713" s="135"/>
      <c r="J713" s="102"/>
      <c r="K713" s="2057" t="s">
        <v>288</v>
      </c>
      <c r="L713" s="217">
        <f>C713/E713</f>
        <v>14.285714285714285</v>
      </c>
      <c r="M713" s="2290"/>
      <c r="N713" s="58"/>
      <c r="O713" s="58"/>
      <c r="P713" s="58"/>
      <c r="Q713" s="58"/>
    </row>
    <row r="714" spans="1:17">
      <c r="A714" s="58"/>
      <c r="B714" s="57"/>
      <c r="C714" s="1717"/>
      <c r="D714" s="218"/>
      <c r="E714" s="219"/>
      <c r="F714" s="218"/>
      <c r="G714" s="102"/>
      <c r="H714" s="135"/>
      <c r="I714" s="135"/>
      <c r="J714" s="102"/>
      <c r="K714" s="102"/>
      <c r="L714" s="102"/>
      <c r="M714" s="2290"/>
      <c r="N714" s="58"/>
      <c r="O714" s="58"/>
      <c r="P714" s="58"/>
      <c r="Q714" s="58"/>
    </row>
    <row r="715" spans="1:17" ht="15.75">
      <c r="A715" s="58"/>
      <c r="B715" s="57"/>
      <c r="C715" s="2776" t="s">
        <v>283</v>
      </c>
      <c r="D715" s="2777"/>
      <c r="E715" s="2777"/>
      <c r="F715" s="2777"/>
      <c r="G715" s="2777"/>
      <c r="H715" s="2777"/>
      <c r="I715" s="2777"/>
      <c r="J715" s="2777"/>
      <c r="K715" s="2777"/>
      <c r="L715" s="2777"/>
      <c r="M715" s="2778"/>
      <c r="N715" s="58"/>
      <c r="O715" s="58"/>
      <c r="P715" s="58"/>
      <c r="Q715" s="58"/>
    </row>
    <row r="716" spans="1:17" ht="15.75">
      <c r="A716" s="58"/>
      <c r="B716" s="57"/>
      <c r="C716" s="2058"/>
      <c r="D716" s="220"/>
      <c r="E716" s="2779" t="s">
        <v>289</v>
      </c>
      <c r="F716" s="2779"/>
      <c r="G716" s="2779"/>
      <c r="H716" s="2779"/>
      <c r="I716" s="2779"/>
      <c r="J716" s="2779"/>
      <c r="K716" s="2779"/>
      <c r="L716" s="2779"/>
      <c r="M716" s="2780"/>
      <c r="N716" s="58"/>
      <c r="O716" s="58"/>
      <c r="P716" s="58"/>
      <c r="Q716" s="58"/>
    </row>
    <row r="717" spans="1:17">
      <c r="A717" s="58"/>
      <c r="B717" s="57"/>
      <c r="C717" s="2771" t="s">
        <v>286</v>
      </c>
      <c r="D717" s="2772"/>
      <c r="E717" s="2773" t="s">
        <v>290</v>
      </c>
      <c r="F717" s="2773"/>
      <c r="G717" s="2774" t="s">
        <v>291</v>
      </c>
      <c r="H717" s="2774"/>
      <c r="I717" s="2774"/>
      <c r="J717" s="221"/>
      <c r="K717" s="221"/>
      <c r="L717" s="221"/>
      <c r="M717" s="2775" t="s">
        <v>292</v>
      </c>
      <c r="N717" s="58"/>
      <c r="O717" s="58"/>
      <c r="P717" s="58"/>
      <c r="Q717" s="58"/>
    </row>
    <row r="718" spans="1:17">
      <c r="A718" s="58"/>
      <c r="B718" s="57"/>
      <c r="C718" s="2771"/>
      <c r="D718" s="2772"/>
      <c r="E718" s="2773"/>
      <c r="F718" s="2773"/>
      <c r="G718" s="2774"/>
      <c r="H718" s="2774"/>
      <c r="I718" s="2774"/>
      <c r="J718" s="221"/>
      <c r="K718" s="221"/>
      <c r="L718" s="221"/>
      <c r="M718" s="2775"/>
      <c r="N718" s="58"/>
      <c r="O718" s="58"/>
      <c r="P718" s="58"/>
      <c r="Q718" s="58"/>
    </row>
    <row r="719" spans="1:17">
      <c r="A719" s="58"/>
      <c r="B719" s="57"/>
      <c r="C719" s="2757">
        <v>0.9</v>
      </c>
      <c r="D719" s="2758"/>
      <c r="E719" s="2759">
        <v>7</v>
      </c>
      <c r="F719" s="2759"/>
      <c r="G719" s="2760" t="s">
        <v>293</v>
      </c>
      <c r="H719" s="2760"/>
      <c r="I719" s="2760"/>
      <c r="J719" s="222">
        <f>C719</f>
        <v>0.9</v>
      </c>
      <c r="K719" s="160" t="s">
        <v>84</v>
      </c>
      <c r="L719" s="223">
        <f>E719</f>
        <v>7</v>
      </c>
      <c r="M719" s="2291">
        <f>C719/E719</f>
        <v>0.12857142857142859</v>
      </c>
      <c r="N719" s="58"/>
      <c r="O719" s="58"/>
      <c r="P719" s="58"/>
      <c r="Q719" s="58"/>
    </row>
    <row r="720" spans="1:17">
      <c r="A720" s="58"/>
      <c r="B720" s="57"/>
      <c r="C720" s="2757">
        <v>3.5</v>
      </c>
      <c r="D720" s="2758"/>
      <c r="E720" s="2759">
        <v>20</v>
      </c>
      <c r="F720" s="2759"/>
      <c r="G720" s="2760" t="s">
        <v>294</v>
      </c>
      <c r="H720" s="2760"/>
      <c r="I720" s="2760"/>
      <c r="J720" s="222">
        <f>C720</f>
        <v>3.5</v>
      </c>
      <c r="K720" s="160" t="s">
        <v>84</v>
      </c>
      <c r="L720" s="223">
        <f>E720</f>
        <v>20</v>
      </c>
      <c r="M720" s="2291">
        <f>C720/E720</f>
        <v>0.17499999999999999</v>
      </c>
      <c r="N720" s="58"/>
      <c r="O720" s="58"/>
      <c r="P720" s="58"/>
      <c r="Q720" s="58"/>
    </row>
    <row r="721" spans="1:17">
      <c r="A721" s="58"/>
      <c r="B721" s="57"/>
      <c r="C721" s="2292"/>
      <c r="D721" s="224"/>
      <c r="E721" s="136"/>
      <c r="F721" s="224"/>
      <c r="G721" s="136"/>
      <c r="H721" s="224"/>
      <c r="I721" s="224"/>
      <c r="J721" s="136"/>
      <c r="K721" s="136"/>
      <c r="L721" s="136"/>
      <c r="M721" s="2293"/>
      <c r="N721" s="58"/>
      <c r="O721" s="58"/>
      <c r="P721" s="58"/>
      <c r="Q721" s="58"/>
    </row>
    <row r="722" spans="1:17">
      <c r="A722" s="58"/>
      <c r="B722" s="57"/>
      <c r="C722" s="58"/>
      <c r="D722" s="58"/>
      <c r="E722" s="58"/>
      <c r="F722" s="58"/>
      <c r="G722" s="58"/>
      <c r="H722" s="58"/>
      <c r="I722" s="58"/>
      <c r="J722" s="58"/>
      <c r="K722" s="58"/>
      <c r="L722" s="57"/>
      <c r="M722" s="58"/>
      <c r="N722" s="58"/>
      <c r="O722" s="58"/>
      <c r="P722" s="58"/>
      <c r="Q722" s="58"/>
    </row>
    <row r="723" spans="1:17" ht="15.75" thickBot="1">
      <c r="A723" s="58"/>
      <c r="B723" s="57"/>
      <c r="C723" s="58"/>
      <c r="D723" s="58"/>
      <c r="E723" s="58"/>
      <c r="F723" s="58"/>
      <c r="G723" s="58"/>
      <c r="H723" s="58"/>
      <c r="I723" s="58"/>
      <c r="J723" s="58"/>
      <c r="K723" s="58"/>
      <c r="L723" s="57"/>
      <c r="M723" s="58"/>
      <c r="N723" s="58"/>
      <c r="O723" s="58"/>
      <c r="P723" s="58"/>
      <c r="Q723" s="58"/>
    </row>
    <row r="724" spans="1:17">
      <c r="A724" s="58"/>
      <c r="B724" s="57"/>
      <c r="C724" s="2761" t="s">
        <v>295</v>
      </c>
      <c r="D724" s="2762"/>
      <c r="E724" s="2765" t="s">
        <v>296</v>
      </c>
      <c r="F724" s="2765"/>
      <c r="G724" s="2767" t="s">
        <v>297</v>
      </c>
      <c r="H724" s="2769" t="s">
        <v>285</v>
      </c>
      <c r="I724" s="2769"/>
      <c r="J724" s="2769"/>
      <c r="K724" s="2769"/>
      <c r="L724" s="2769"/>
      <c r="M724" s="2770"/>
      <c r="N724" s="58"/>
      <c r="O724" s="58"/>
      <c r="P724" s="58"/>
      <c r="Q724" s="58"/>
    </row>
    <row r="725" spans="1:17">
      <c r="A725" s="58"/>
      <c r="B725" s="57"/>
      <c r="C725" s="2763"/>
      <c r="D725" s="2764"/>
      <c r="E725" s="2766"/>
      <c r="F725" s="2766"/>
      <c r="G725" s="2768"/>
      <c r="H725" s="225"/>
      <c r="I725" s="225"/>
      <c r="J725" s="225"/>
      <c r="K725" s="225"/>
      <c r="L725" s="225"/>
      <c r="M725" s="226"/>
      <c r="N725" s="58"/>
      <c r="O725" s="58"/>
      <c r="P725" s="58"/>
      <c r="Q725" s="58"/>
    </row>
    <row r="726" spans="1:17">
      <c r="A726" s="58"/>
      <c r="B726" s="57"/>
      <c r="C726" s="2748">
        <v>32</v>
      </c>
      <c r="D726" s="2749"/>
      <c r="E726" s="2750">
        <v>1.45</v>
      </c>
      <c r="F726" s="2750"/>
      <c r="G726" s="2751">
        <f>C726/E726</f>
        <v>22.068965517241381</v>
      </c>
      <c r="H726" s="2752" t="s">
        <v>298</v>
      </c>
      <c r="I726" s="2752"/>
      <c r="J726" s="2752"/>
      <c r="K726" s="2752"/>
      <c r="L726" s="2752"/>
      <c r="M726" s="2753"/>
      <c r="N726" s="58"/>
      <c r="O726" s="58"/>
      <c r="P726" s="58"/>
      <c r="Q726" s="58"/>
    </row>
    <row r="727" spans="1:17">
      <c r="A727" s="58"/>
      <c r="B727" s="57"/>
      <c r="C727" s="2748"/>
      <c r="D727" s="2749"/>
      <c r="E727" s="2750"/>
      <c r="F727" s="2750"/>
      <c r="G727" s="2751"/>
      <c r="H727" s="2752"/>
      <c r="I727" s="2752"/>
      <c r="J727" s="2752"/>
      <c r="K727" s="2752"/>
      <c r="L727" s="2752"/>
      <c r="M727" s="2753"/>
      <c r="N727" s="58"/>
      <c r="O727" s="58"/>
      <c r="P727" s="58"/>
      <c r="Q727" s="58"/>
    </row>
    <row r="728" spans="1:17" ht="15.75">
      <c r="A728" s="58"/>
      <c r="B728" s="57"/>
      <c r="C728" s="2754" t="s">
        <v>299</v>
      </c>
      <c r="D728" s="2755"/>
      <c r="E728" s="2755"/>
      <c r="F728" s="2755"/>
      <c r="G728" s="2755"/>
      <c r="H728" s="2755"/>
      <c r="I728" s="2755"/>
      <c r="J728" s="2755"/>
      <c r="K728" s="2755"/>
      <c r="L728" s="2755"/>
      <c r="M728" s="2756"/>
      <c r="N728" s="58"/>
      <c r="O728" s="58"/>
      <c r="P728" s="58"/>
      <c r="Q728" s="58"/>
    </row>
    <row r="729" spans="1:17" ht="15.75">
      <c r="A729" s="58"/>
      <c r="B729" s="57"/>
      <c r="C729" s="2738">
        <v>32</v>
      </c>
      <c r="D729" s="2739"/>
      <c r="E729" s="2740">
        <v>1.2</v>
      </c>
      <c r="F729" s="2740"/>
      <c r="G729" s="2059">
        <f t="shared" ref="G729:G740" si="6">C729/E729</f>
        <v>26.666666666666668</v>
      </c>
      <c r="H729" s="2060" t="s">
        <v>300</v>
      </c>
      <c r="I729" s="227"/>
      <c r="J729" s="227"/>
      <c r="K729" s="227"/>
      <c r="L729" s="228"/>
      <c r="M729" s="229"/>
      <c r="N729" s="58"/>
      <c r="O729" s="58"/>
      <c r="P729" s="58"/>
      <c r="Q729" s="58"/>
    </row>
    <row r="730" spans="1:17" ht="15.75">
      <c r="A730" s="58"/>
      <c r="B730" s="57"/>
      <c r="C730" s="2738">
        <v>12</v>
      </c>
      <c r="D730" s="2739"/>
      <c r="E730" s="2740">
        <v>1</v>
      </c>
      <c r="F730" s="2740"/>
      <c r="G730" s="2059">
        <f t="shared" si="6"/>
        <v>12</v>
      </c>
      <c r="H730" s="2060" t="s">
        <v>301</v>
      </c>
      <c r="I730" s="227"/>
      <c r="J730" s="227"/>
      <c r="K730" s="227"/>
      <c r="L730" s="228"/>
      <c r="M730" s="229"/>
      <c r="N730" s="58"/>
      <c r="O730" s="58"/>
      <c r="P730" s="58"/>
      <c r="Q730" s="58"/>
    </row>
    <row r="731" spans="1:17" ht="15.75">
      <c r="A731" s="58"/>
      <c r="B731" s="57"/>
      <c r="C731" s="2738">
        <v>32</v>
      </c>
      <c r="D731" s="2739"/>
      <c r="E731" s="2740">
        <v>2</v>
      </c>
      <c r="F731" s="2740"/>
      <c r="G731" s="2059">
        <f t="shared" si="6"/>
        <v>16</v>
      </c>
      <c r="H731" s="2060" t="s">
        <v>302</v>
      </c>
      <c r="I731" s="227"/>
      <c r="J731" s="227"/>
      <c r="K731" s="227"/>
      <c r="L731" s="228"/>
      <c r="M731" s="229"/>
      <c r="N731" s="58"/>
      <c r="O731" s="58"/>
      <c r="P731" s="58"/>
      <c r="Q731" s="58"/>
    </row>
    <row r="732" spans="1:17" ht="15.75">
      <c r="A732" s="58"/>
      <c r="B732" s="57"/>
      <c r="C732" s="2738">
        <v>32</v>
      </c>
      <c r="D732" s="2739"/>
      <c r="E732" s="2740">
        <v>1.2</v>
      </c>
      <c r="F732" s="2740"/>
      <c r="G732" s="2059">
        <f t="shared" si="6"/>
        <v>26.666666666666668</v>
      </c>
      <c r="H732" s="2060" t="s">
        <v>302</v>
      </c>
      <c r="I732" s="227"/>
      <c r="J732" s="227"/>
      <c r="K732" s="227"/>
      <c r="L732" s="228"/>
      <c r="M732" s="229"/>
      <c r="N732" s="58"/>
      <c r="O732" s="58"/>
      <c r="P732" s="58"/>
      <c r="Q732" s="58"/>
    </row>
    <row r="733" spans="1:17" ht="15.75">
      <c r="A733" s="58"/>
      <c r="B733" s="57"/>
      <c r="C733" s="2738">
        <v>33</v>
      </c>
      <c r="D733" s="2739"/>
      <c r="E733" s="2740">
        <v>1.3</v>
      </c>
      <c r="F733" s="2740"/>
      <c r="G733" s="2059">
        <f t="shared" si="6"/>
        <v>25.384615384615383</v>
      </c>
      <c r="H733" s="2060" t="s">
        <v>303</v>
      </c>
      <c r="I733" s="227"/>
      <c r="J733" s="227"/>
      <c r="K733" s="227"/>
      <c r="L733" s="228"/>
      <c r="M733" s="229"/>
      <c r="N733" s="58"/>
      <c r="O733" s="58"/>
      <c r="P733" s="58"/>
      <c r="Q733" s="58"/>
    </row>
    <row r="734" spans="1:17" ht="15.75">
      <c r="A734" s="58"/>
      <c r="B734" s="57"/>
      <c r="C734" s="2738">
        <v>33</v>
      </c>
      <c r="D734" s="2739"/>
      <c r="E734" s="2740">
        <v>1.5</v>
      </c>
      <c r="F734" s="2740"/>
      <c r="G734" s="2059">
        <f t="shared" si="6"/>
        <v>22</v>
      </c>
      <c r="H734" s="2060" t="s">
        <v>304</v>
      </c>
      <c r="I734" s="227"/>
      <c r="J734" s="227"/>
      <c r="K734" s="227"/>
      <c r="L734" s="228"/>
      <c r="M734" s="229"/>
      <c r="N734" s="58"/>
      <c r="O734" s="58"/>
      <c r="P734" s="58"/>
      <c r="Q734" s="58"/>
    </row>
    <row r="735" spans="1:17" ht="15.75">
      <c r="A735" s="58"/>
      <c r="B735" s="57"/>
      <c r="C735" s="2738">
        <v>30</v>
      </c>
      <c r="D735" s="2739"/>
      <c r="E735" s="2740">
        <v>1.2</v>
      </c>
      <c r="F735" s="2740"/>
      <c r="G735" s="2059">
        <f t="shared" si="6"/>
        <v>25</v>
      </c>
      <c r="H735" s="2060" t="s">
        <v>305</v>
      </c>
      <c r="I735" s="227"/>
      <c r="J735" s="227"/>
      <c r="K735" s="227"/>
      <c r="L735" s="228"/>
      <c r="M735" s="229"/>
      <c r="N735" s="58"/>
      <c r="O735" s="58"/>
      <c r="P735" s="58"/>
      <c r="Q735" s="58"/>
    </row>
    <row r="736" spans="1:17" ht="15.75">
      <c r="A736" s="58"/>
      <c r="B736" s="57"/>
      <c r="C736" s="2738">
        <v>33</v>
      </c>
      <c r="D736" s="2739"/>
      <c r="E736" s="2740">
        <v>1.6</v>
      </c>
      <c r="F736" s="2740"/>
      <c r="G736" s="2059">
        <f t="shared" si="6"/>
        <v>20.625</v>
      </c>
      <c r="H736" s="2060" t="s">
        <v>306</v>
      </c>
      <c r="I736" s="227"/>
      <c r="J736" s="227"/>
      <c r="K736" s="227"/>
      <c r="L736" s="228"/>
      <c r="M736" s="229"/>
      <c r="N736" s="58"/>
      <c r="O736" s="58"/>
      <c r="P736" s="58"/>
      <c r="Q736" s="58"/>
    </row>
    <row r="737" spans="1:17" ht="15.75">
      <c r="A737" s="58"/>
      <c r="B737" s="57"/>
      <c r="C737" s="2738">
        <v>33</v>
      </c>
      <c r="D737" s="2739"/>
      <c r="E737" s="2740">
        <v>2</v>
      </c>
      <c r="F737" s="2740"/>
      <c r="G737" s="2059">
        <f t="shared" si="6"/>
        <v>16.5</v>
      </c>
      <c r="H737" s="2060" t="s">
        <v>307</v>
      </c>
      <c r="I737" s="227"/>
      <c r="J737" s="227"/>
      <c r="K737" s="227"/>
      <c r="L737" s="228"/>
      <c r="M737" s="229"/>
      <c r="N737" s="58"/>
      <c r="O737" s="58"/>
      <c r="P737" s="58"/>
      <c r="Q737" s="58"/>
    </row>
    <row r="738" spans="1:17" ht="15.75">
      <c r="A738" s="58"/>
      <c r="B738" s="57"/>
      <c r="C738" s="2738">
        <v>48</v>
      </c>
      <c r="D738" s="2739"/>
      <c r="E738" s="2740">
        <v>6</v>
      </c>
      <c r="F738" s="2740"/>
      <c r="G738" s="2059">
        <f t="shared" si="6"/>
        <v>8</v>
      </c>
      <c r="H738" s="2060" t="s">
        <v>308</v>
      </c>
      <c r="I738" s="227"/>
      <c r="J738" s="227"/>
      <c r="K738" s="227"/>
      <c r="L738" s="228"/>
      <c r="M738" s="229"/>
      <c r="N738" s="58"/>
      <c r="O738" s="58"/>
      <c r="P738" s="58"/>
      <c r="Q738" s="58"/>
    </row>
    <row r="739" spans="1:17" ht="15.75">
      <c r="A739" s="58"/>
      <c r="B739" s="57"/>
      <c r="C739" s="2738">
        <v>1</v>
      </c>
      <c r="D739" s="2739"/>
      <c r="E739" s="2740">
        <v>0.25</v>
      </c>
      <c r="F739" s="2740"/>
      <c r="G739" s="2059">
        <f t="shared" si="6"/>
        <v>4</v>
      </c>
      <c r="H739" s="2060" t="s">
        <v>309</v>
      </c>
      <c r="I739" s="227"/>
      <c r="J739" s="227"/>
      <c r="K739" s="227"/>
      <c r="L739" s="228"/>
      <c r="M739" s="229"/>
      <c r="N739" s="58"/>
      <c r="O739" s="58"/>
      <c r="P739" s="58"/>
      <c r="Q739" s="58"/>
    </row>
    <row r="740" spans="1:17" ht="15.75">
      <c r="A740" s="58"/>
      <c r="B740" s="57"/>
      <c r="C740" s="2738">
        <v>25</v>
      </c>
      <c r="D740" s="2739"/>
      <c r="E740" s="2740">
        <v>1</v>
      </c>
      <c r="F740" s="2740"/>
      <c r="G740" s="2059">
        <f t="shared" si="6"/>
        <v>25</v>
      </c>
      <c r="H740" s="2060" t="s">
        <v>310</v>
      </c>
      <c r="I740" s="227"/>
      <c r="J740" s="227"/>
      <c r="K740" s="227"/>
      <c r="L740" s="228"/>
      <c r="M740" s="229"/>
      <c r="N740" s="58"/>
      <c r="O740" s="58"/>
      <c r="P740" s="58"/>
      <c r="Q740" s="58"/>
    </row>
    <row r="741" spans="1:17" ht="15.75">
      <c r="A741" s="58"/>
      <c r="B741" s="57"/>
      <c r="C741" s="2061"/>
      <c r="D741" s="2062"/>
      <c r="E741" s="2063"/>
      <c r="F741" s="2063"/>
      <c r="G741" s="2059"/>
      <c r="H741" s="2060"/>
      <c r="I741" s="227"/>
      <c r="J741" s="227"/>
      <c r="K741" s="227"/>
      <c r="L741" s="228"/>
      <c r="M741" s="229"/>
      <c r="N741" s="58"/>
      <c r="O741" s="58"/>
      <c r="P741" s="58"/>
      <c r="Q741" s="58"/>
    </row>
    <row r="742" spans="1:17" ht="15.75">
      <c r="A742" s="58"/>
      <c r="B742" s="57"/>
      <c r="C742" s="230" t="s">
        <v>311</v>
      </c>
      <c r="D742" s="2062"/>
      <c r="E742" s="2063"/>
      <c r="F742" s="2063"/>
      <c r="G742" s="2059"/>
      <c r="H742" s="2060"/>
      <c r="I742" s="227"/>
      <c r="J742" s="227"/>
      <c r="K742" s="227"/>
      <c r="L742" s="228"/>
      <c r="M742" s="229"/>
      <c r="N742" s="58"/>
      <c r="O742" s="58"/>
      <c r="P742" s="58"/>
      <c r="Q742" s="58"/>
    </row>
    <row r="743" spans="1:17">
      <c r="A743" s="58"/>
      <c r="B743" s="57"/>
      <c r="C743" s="2741" t="s">
        <v>312</v>
      </c>
      <c r="D743" s="2742"/>
      <c r="E743" s="2742"/>
      <c r="F743" s="2742"/>
      <c r="G743" s="2742"/>
      <c r="H743" s="2742"/>
      <c r="I743" s="2742"/>
      <c r="J743" s="2742"/>
      <c r="K743" s="2742"/>
      <c r="L743" s="2742"/>
      <c r="M743" s="2743"/>
      <c r="N743" s="58"/>
      <c r="O743" s="58"/>
      <c r="P743" s="58"/>
      <c r="Q743" s="58"/>
    </row>
    <row r="744" spans="1:17">
      <c r="A744" s="58"/>
      <c r="B744" s="57"/>
      <c r="C744" s="2741"/>
      <c r="D744" s="2742"/>
      <c r="E744" s="2742"/>
      <c r="F744" s="2742"/>
      <c r="G744" s="2742"/>
      <c r="H744" s="2742"/>
      <c r="I744" s="2742"/>
      <c r="J744" s="2742"/>
      <c r="K744" s="2742"/>
      <c r="L744" s="2742"/>
      <c r="M744" s="2743"/>
      <c r="N744" s="58"/>
      <c r="O744" s="58"/>
      <c r="P744" s="58"/>
      <c r="Q744" s="58"/>
    </row>
    <row r="745" spans="1:17" ht="15.75" thickBot="1">
      <c r="A745" s="58"/>
      <c r="B745" s="57"/>
      <c r="C745" s="2744"/>
      <c r="D745" s="2745"/>
      <c r="E745" s="2745"/>
      <c r="F745" s="2745"/>
      <c r="G745" s="2745"/>
      <c r="H745" s="2745"/>
      <c r="I745" s="2745"/>
      <c r="J745" s="2745"/>
      <c r="K745" s="2745"/>
      <c r="L745" s="2745"/>
      <c r="M745" s="2746"/>
      <c r="N745" s="58"/>
      <c r="O745" s="58"/>
      <c r="P745" s="58"/>
      <c r="Q745" s="58"/>
    </row>
    <row r="746" spans="1:17">
      <c r="A746" s="58"/>
      <c r="B746" s="57"/>
      <c r="C746" s="57"/>
      <c r="D746" s="57"/>
      <c r="E746" s="57"/>
      <c r="F746" s="57"/>
      <c r="G746" s="57"/>
      <c r="H746" s="57"/>
      <c r="I746" s="57"/>
      <c r="J746" s="57"/>
      <c r="K746" s="57"/>
      <c r="L746" s="57"/>
      <c r="M746" s="58"/>
      <c r="N746" s="58"/>
      <c r="O746" s="58"/>
      <c r="P746" s="58"/>
      <c r="Q746" s="58"/>
    </row>
    <row r="747" spans="1:17">
      <c r="A747" s="1647"/>
      <c r="B747" s="1648"/>
      <c r="C747" s="1649"/>
      <c r="D747" s="1649"/>
      <c r="E747" s="1649"/>
      <c r="F747" s="1649"/>
      <c r="G747" s="1649"/>
      <c r="H747" s="1649"/>
      <c r="I747" s="1649"/>
      <c r="J747" s="1648"/>
      <c r="K747" s="1648"/>
      <c r="L747" s="1648"/>
      <c r="M747" s="1647"/>
      <c r="N747" s="1647"/>
      <c r="O747" s="1647"/>
      <c r="P747" s="1647"/>
      <c r="Q747" s="1647"/>
    </row>
    <row r="748" spans="1:17">
      <c r="A748" s="58"/>
      <c r="B748" s="57"/>
      <c r="C748" s="57"/>
      <c r="D748" s="57"/>
      <c r="E748" s="57"/>
      <c r="F748" s="57"/>
      <c r="G748" s="57"/>
      <c r="H748" s="57"/>
      <c r="I748" s="57"/>
      <c r="J748" s="57"/>
      <c r="K748" s="57"/>
      <c r="L748" s="57"/>
      <c r="M748" s="58"/>
      <c r="N748" s="58"/>
      <c r="O748" s="58"/>
      <c r="P748" s="58"/>
      <c r="Q748" s="58"/>
    </row>
    <row r="749" spans="1:17" ht="20.25">
      <c r="A749" s="58"/>
      <c r="B749" s="2747" t="s">
        <v>220</v>
      </c>
      <c r="C749" s="2747"/>
      <c r="D749" s="2747"/>
      <c r="E749" s="2747"/>
      <c r="F749" s="2747"/>
      <c r="G749" s="2747"/>
      <c r="H749" s="2747"/>
      <c r="I749" s="2747"/>
      <c r="J749" s="2747"/>
      <c r="K749" s="2747"/>
      <c r="L749" s="2747"/>
      <c r="M749" s="2747"/>
      <c r="N749" s="2747"/>
      <c r="O749" s="57"/>
      <c r="P749" s="57"/>
      <c r="Q749" s="57"/>
    </row>
    <row r="750" spans="1:17">
      <c r="A750" s="58"/>
      <c r="B750" s="1718"/>
      <c r="C750" s="95"/>
      <c r="D750" s="95"/>
      <c r="E750" s="95"/>
      <c r="F750" s="95"/>
      <c r="G750" s="95"/>
      <c r="H750" s="95"/>
      <c r="I750" s="95"/>
      <c r="J750" s="95"/>
      <c r="K750" s="95"/>
      <c r="L750" s="95"/>
      <c r="M750" s="95"/>
      <c r="N750" s="1719"/>
      <c r="O750" s="57"/>
      <c r="P750" s="57"/>
      <c r="Q750" s="57"/>
    </row>
    <row r="751" spans="1:17" ht="18">
      <c r="A751" s="58"/>
      <c r="B751" s="2733" t="s">
        <v>221</v>
      </c>
      <c r="C751" s="2734"/>
      <c r="D751" s="2734"/>
      <c r="E751" s="2734"/>
      <c r="F751" s="2734"/>
      <c r="G751" s="2734"/>
      <c r="H751" s="2734"/>
      <c r="I751" s="2734"/>
      <c r="J751" s="2734"/>
      <c r="K751" s="2734"/>
      <c r="L751" s="2734"/>
      <c r="M751" s="2734"/>
      <c r="N751" s="2735"/>
      <c r="O751" s="57"/>
      <c r="P751" s="57"/>
      <c r="Q751" s="57"/>
    </row>
    <row r="752" spans="1:17" ht="18">
      <c r="A752" s="58"/>
      <c r="B752" s="1720"/>
      <c r="C752" s="96"/>
      <c r="D752" s="96"/>
      <c r="E752" s="96"/>
      <c r="F752" s="96"/>
      <c r="G752" s="96"/>
      <c r="H752" s="96"/>
      <c r="I752" s="96"/>
      <c r="J752" s="96"/>
      <c r="K752" s="96"/>
      <c r="L752" s="96"/>
      <c r="M752" s="96"/>
      <c r="N752" s="2294"/>
      <c r="O752" s="57"/>
      <c r="P752" s="57"/>
      <c r="Q752" s="57"/>
    </row>
    <row r="753" spans="1:17" ht="15.75">
      <c r="A753" s="58"/>
      <c r="B753" s="1721"/>
      <c r="C753" s="97"/>
      <c r="D753" s="97"/>
      <c r="E753" s="98" t="s">
        <v>222</v>
      </c>
      <c r="F753" s="2295">
        <v>250</v>
      </c>
      <c r="G753" s="2295">
        <v>620</v>
      </c>
      <c r="H753" s="2295">
        <v>37</v>
      </c>
      <c r="I753" s="2295">
        <v>14</v>
      </c>
      <c r="J753" s="99">
        <f>SUM(F753:I753)</f>
        <v>921</v>
      </c>
      <c r="K753" s="100" t="s">
        <v>223</v>
      </c>
      <c r="L753" s="101"/>
      <c r="M753" s="102"/>
      <c r="N753" s="2296"/>
      <c r="O753" s="57"/>
      <c r="P753" s="57"/>
      <c r="Q753" s="57"/>
    </row>
    <row r="754" spans="1:17" ht="15.75">
      <c r="A754" s="58"/>
      <c r="B754" s="1721"/>
      <c r="C754" s="97"/>
      <c r="D754" s="97"/>
      <c r="E754" s="103" t="s">
        <v>224</v>
      </c>
      <c r="F754" s="2297">
        <v>4.4999999999999998E-2</v>
      </c>
      <c r="G754" s="2297">
        <v>7.0000000000000007E-2</v>
      </c>
      <c r="H754" s="2297">
        <v>0.11</v>
      </c>
      <c r="I754" s="2298">
        <v>0.13</v>
      </c>
      <c r="J754" s="102"/>
      <c r="K754" s="104" t="s">
        <v>225</v>
      </c>
      <c r="L754" s="105">
        <v>25</v>
      </c>
      <c r="M754" s="106" t="s">
        <v>226</v>
      </c>
      <c r="N754" s="2296"/>
      <c r="O754" s="57"/>
      <c r="P754" s="57"/>
      <c r="Q754" s="57"/>
    </row>
    <row r="755" spans="1:17" ht="15.75">
      <c r="A755" s="58"/>
      <c r="B755" s="1721"/>
      <c r="C755" s="97"/>
      <c r="D755" s="97"/>
      <c r="E755" s="107" t="s">
        <v>227</v>
      </c>
      <c r="F755" s="108" t="s">
        <v>228</v>
      </c>
      <c r="G755" s="2299" t="s">
        <v>229</v>
      </c>
      <c r="H755" s="2300" t="s">
        <v>230</v>
      </c>
      <c r="I755" s="2299" t="s">
        <v>215</v>
      </c>
      <c r="J755" s="2736" t="s">
        <v>231</v>
      </c>
      <c r="K755" s="2736"/>
      <c r="L755" s="2736"/>
      <c r="M755" s="102"/>
      <c r="N755" s="2296"/>
      <c r="O755" s="57"/>
      <c r="P755" s="57"/>
      <c r="Q755" s="57"/>
    </row>
    <row r="756" spans="1:17">
      <c r="A756" s="58"/>
      <c r="B756" s="1721"/>
      <c r="C756" s="97"/>
      <c r="D756" s="97"/>
      <c r="E756" s="109" t="s">
        <v>232</v>
      </c>
      <c r="F756" s="1722">
        <f>F754*F753</f>
        <v>11.25</v>
      </c>
      <c r="G756" s="1722">
        <f>G754*G753</f>
        <v>43.400000000000006</v>
      </c>
      <c r="H756" s="1722">
        <f>H754*H753</f>
        <v>4.07</v>
      </c>
      <c r="I756" s="110">
        <f>I754*I753</f>
        <v>1.82</v>
      </c>
      <c r="J756" s="111">
        <f>SUM(F756:I756)</f>
        <v>60.540000000000006</v>
      </c>
      <c r="K756" s="111"/>
      <c r="L756" s="112" t="s">
        <v>233</v>
      </c>
      <c r="M756" s="102"/>
      <c r="N756" s="2290"/>
      <c r="O756" s="57"/>
      <c r="P756" s="57"/>
      <c r="Q756" s="57"/>
    </row>
    <row r="757" spans="1:17" ht="18">
      <c r="A757" s="58"/>
      <c r="B757" s="1721"/>
      <c r="C757" s="97"/>
      <c r="D757" s="97"/>
      <c r="E757" s="113" t="s">
        <v>234</v>
      </c>
      <c r="F757" s="1723">
        <f>F756/(100-L754)*100</f>
        <v>15</v>
      </c>
      <c r="G757" s="1723">
        <f>G756/(100-L754)*100</f>
        <v>57.866666666666674</v>
      </c>
      <c r="H757" s="1723">
        <f>H756/(100-L754)*100</f>
        <v>5.4266666666666667</v>
      </c>
      <c r="I757" s="114">
        <f>I756/(100-L754)*100</f>
        <v>2.4266666666666667</v>
      </c>
      <c r="J757" s="115">
        <f>SUM(F757:I757)</f>
        <v>80.72</v>
      </c>
      <c r="K757" s="116"/>
      <c r="L757" s="117" t="s">
        <v>235</v>
      </c>
      <c r="M757" s="102"/>
      <c r="N757" s="2290"/>
      <c r="O757" s="57"/>
      <c r="P757" s="57"/>
      <c r="Q757" s="57"/>
    </row>
    <row r="758" spans="1:17">
      <c r="A758" s="58"/>
      <c r="B758" s="1721"/>
      <c r="C758" s="97"/>
      <c r="D758" s="97"/>
      <c r="E758" s="97"/>
      <c r="F758" s="97"/>
      <c r="G758" s="97"/>
      <c r="H758" s="97"/>
      <c r="I758" s="97"/>
      <c r="J758" s="118">
        <f>J757-J756</f>
        <v>20.179999999999993</v>
      </c>
      <c r="K758" s="118"/>
      <c r="L758" s="119" t="s">
        <v>83</v>
      </c>
      <c r="M758" s="120"/>
      <c r="N758" s="2296"/>
      <c r="O758" s="57"/>
      <c r="P758" s="57"/>
      <c r="Q758" s="57"/>
    </row>
    <row r="759" spans="1:17">
      <c r="A759" s="58"/>
      <c r="B759" s="1721"/>
      <c r="C759" s="97"/>
      <c r="D759" s="97"/>
      <c r="E759" s="97"/>
      <c r="F759" s="97"/>
      <c r="G759" s="97"/>
      <c r="H759" s="97"/>
      <c r="I759" s="97"/>
      <c r="J759" s="121">
        <f>(J758/J753)*1000</f>
        <v>21.910966340933761</v>
      </c>
      <c r="K759" s="118"/>
      <c r="L759" s="119" t="s">
        <v>236</v>
      </c>
      <c r="M759" s="120"/>
      <c r="N759" s="2296"/>
      <c r="O759" s="57"/>
      <c r="P759" s="57"/>
      <c r="Q759" s="57"/>
    </row>
    <row r="760" spans="1:17">
      <c r="A760" s="58"/>
      <c r="B760" s="1721"/>
      <c r="C760" s="122" t="s">
        <v>226</v>
      </c>
      <c r="D760" s="123" t="s">
        <v>237</v>
      </c>
      <c r="E760" s="97"/>
      <c r="F760" s="97"/>
      <c r="G760" s="97"/>
      <c r="H760" s="97"/>
      <c r="I760" s="97"/>
      <c r="J760" s="97"/>
      <c r="K760" s="97"/>
      <c r="L760" s="97"/>
      <c r="M760" s="97"/>
      <c r="N760" s="2296"/>
      <c r="O760" s="57"/>
      <c r="P760" s="57"/>
      <c r="Q760" s="57"/>
    </row>
    <row r="761" spans="1:17">
      <c r="A761" s="58"/>
      <c r="B761" s="1721"/>
      <c r="C761" s="124"/>
      <c r="D761" s="123" t="s">
        <v>238</v>
      </c>
      <c r="E761" s="97"/>
      <c r="F761" s="97"/>
      <c r="G761" s="97"/>
      <c r="H761" s="97"/>
      <c r="I761" s="97"/>
      <c r="J761" s="97"/>
      <c r="K761" s="97"/>
      <c r="L761" s="97"/>
      <c r="M761" s="97"/>
      <c r="N761" s="2296"/>
      <c r="O761" s="57"/>
      <c r="P761" s="57"/>
      <c r="Q761" s="57"/>
    </row>
    <row r="762" spans="1:17">
      <c r="A762" s="58"/>
      <c r="B762" s="2301"/>
      <c r="C762" s="125"/>
      <c r="D762" s="125"/>
      <c r="E762" s="125"/>
      <c r="F762" s="125"/>
      <c r="G762" s="125"/>
      <c r="H762" s="125"/>
      <c r="I762" s="125"/>
      <c r="J762" s="125"/>
      <c r="K762" s="125"/>
      <c r="L762" s="125"/>
      <c r="M762" s="125"/>
      <c r="N762" s="2289"/>
      <c r="O762" s="57"/>
      <c r="P762" s="57"/>
      <c r="Q762" s="57"/>
    </row>
    <row r="763" spans="1:17">
      <c r="A763" s="58"/>
      <c r="B763" s="57"/>
      <c r="C763" s="57"/>
      <c r="D763" s="57"/>
      <c r="E763" s="57"/>
      <c r="F763" s="57"/>
      <c r="G763" s="57"/>
      <c r="H763" s="57"/>
      <c r="I763" s="57"/>
      <c r="J763" s="57"/>
      <c r="K763" s="57"/>
      <c r="L763" s="57"/>
      <c r="M763" s="58"/>
      <c r="N763" s="58"/>
      <c r="O763" s="58"/>
      <c r="P763" s="58"/>
      <c r="Q763" s="58"/>
    </row>
    <row r="764" spans="1:17" ht="15.75" thickBot="1">
      <c r="A764" s="58"/>
      <c r="B764" s="57"/>
      <c r="C764" s="57"/>
      <c r="D764" s="57"/>
      <c r="E764" s="57"/>
      <c r="F764" s="57"/>
      <c r="G764" s="57"/>
      <c r="H764" s="57"/>
      <c r="I764" s="57"/>
      <c r="J764" s="57"/>
      <c r="K764" s="57"/>
      <c r="L764" s="57"/>
      <c r="M764" s="58"/>
      <c r="N764" s="58"/>
      <c r="O764" s="58"/>
      <c r="P764" s="58"/>
      <c r="Q764" s="58"/>
    </row>
    <row r="765" spans="1:17">
      <c r="A765" s="2723" t="s">
        <v>76</v>
      </c>
      <c r="B765" s="2725" t="s">
        <v>313</v>
      </c>
      <c r="C765" s="2726"/>
      <c r="D765" s="2726"/>
      <c r="E765" s="2726"/>
      <c r="F765" s="2726"/>
      <c r="G765" s="2726"/>
      <c r="H765" s="2726"/>
      <c r="I765" s="2726"/>
      <c r="J765" s="2726"/>
      <c r="K765" s="2726"/>
      <c r="L765" s="2726"/>
      <c r="M765" s="2726"/>
      <c r="N765" s="2729">
        <v>1</v>
      </c>
      <c r="O765" s="58"/>
      <c r="P765" s="58"/>
      <c r="Q765" s="58"/>
    </row>
    <row r="766" spans="1:17">
      <c r="A766" s="2724"/>
      <c r="B766" s="2727"/>
      <c r="C766" s="2728"/>
      <c r="D766" s="2728"/>
      <c r="E766" s="2728"/>
      <c r="F766" s="2728"/>
      <c r="G766" s="2728"/>
      <c r="H766" s="2728"/>
      <c r="I766" s="2728"/>
      <c r="J766" s="2728"/>
      <c r="K766" s="2728"/>
      <c r="L766" s="2728"/>
      <c r="M766" s="2728"/>
      <c r="N766" s="2730"/>
      <c r="O766" s="58"/>
      <c r="P766" s="58"/>
      <c r="Q766" s="58"/>
    </row>
    <row r="767" spans="1:17" ht="20.25">
      <c r="A767" s="2707"/>
      <c r="B767" s="2708" t="s">
        <v>314</v>
      </c>
      <c r="C767" s="2709"/>
      <c r="D767" s="2709"/>
      <c r="E767" s="2709"/>
      <c r="F767" s="2709"/>
      <c r="G767" s="2709"/>
      <c r="H767" s="2709"/>
      <c r="I767" s="2709"/>
      <c r="J767" s="2709"/>
      <c r="K767" s="2709"/>
      <c r="L767" s="2709"/>
      <c r="M767" s="2709"/>
      <c r="N767" s="2710"/>
      <c r="O767" s="58"/>
      <c r="P767" s="58"/>
      <c r="Q767" s="58"/>
    </row>
    <row r="768" spans="1:17">
      <c r="A768" s="2707"/>
      <c r="B768" s="2711" t="s">
        <v>315</v>
      </c>
      <c r="C768" s="2712"/>
      <c r="D768" s="2712"/>
      <c r="E768" s="2712"/>
      <c r="F768" s="2712"/>
      <c r="G768" s="2712"/>
      <c r="H768" s="2712"/>
      <c r="I768" s="2712"/>
      <c r="J768" s="2712"/>
      <c r="K768" s="2712"/>
      <c r="L768" s="2712"/>
      <c r="M768" s="2712"/>
      <c r="N768" s="2713"/>
      <c r="O768" s="58"/>
      <c r="P768" s="58"/>
      <c r="Q768" s="58"/>
    </row>
    <row r="769" spans="1:17">
      <c r="A769" s="2707"/>
      <c r="B769" s="2711"/>
      <c r="C769" s="2712"/>
      <c r="D769" s="2712"/>
      <c r="E769" s="2712"/>
      <c r="F769" s="2712"/>
      <c r="G769" s="2712"/>
      <c r="H769" s="2712"/>
      <c r="I769" s="2712"/>
      <c r="J769" s="2712"/>
      <c r="K769" s="2712"/>
      <c r="L769" s="2712"/>
      <c r="M769" s="2712"/>
      <c r="N769" s="2713"/>
      <c r="O769" s="58"/>
      <c r="P769" s="58"/>
      <c r="Q769" s="58"/>
    </row>
    <row r="770" spans="1:17">
      <c r="A770" s="2707"/>
      <c r="B770" s="2711"/>
      <c r="C770" s="2712"/>
      <c r="D770" s="2712"/>
      <c r="E770" s="2712"/>
      <c r="F770" s="2712"/>
      <c r="G770" s="2712"/>
      <c r="H770" s="2712"/>
      <c r="I770" s="2712"/>
      <c r="J770" s="2712"/>
      <c r="K770" s="2712"/>
      <c r="L770" s="2712"/>
      <c r="M770" s="2712"/>
      <c r="N770" s="2713"/>
      <c r="O770" s="58"/>
      <c r="P770" s="58"/>
      <c r="Q770" s="58"/>
    </row>
    <row r="771" spans="1:17">
      <c r="A771" s="2707"/>
      <c r="B771" s="2711"/>
      <c r="C771" s="2712"/>
      <c r="D771" s="2712"/>
      <c r="E771" s="2712"/>
      <c r="F771" s="2712"/>
      <c r="G771" s="2712"/>
      <c r="H771" s="2712"/>
      <c r="I771" s="2712"/>
      <c r="J771" s="2712"/>
      <c r="K771" s="2712"/>
      <c r="L771" s="2712"/>
      <c r="M771" s="2712"/>
      <c r="N771" s="2713"/>
      <c r="O771" s="58"/>
      <c r="P771" s="58"/>
      <c r="Q771" s="58"/>
    </row>
    <row r="772" spans="1:17">
      <c r="A772" s="2707"/>
      <c r="B772" s="2714"/>
      <c r="C772" s="2715"/>
      <c r="D772" s="2715"/>
      <c r="E772" s="2715"/>
      <c r="F772" s="2715"/>
      <c r="G772" s="2715"/>
      <c r="H772" s="2715"/>
      <c r="I772" s="2715"/>
      <c r="J772" s="2715"/>
      <c r="K772" s="2715"/>
      <c r="L772" s="2715"/>
      <c r="M772" s="2715"/>
      <c r="N772" s="2716"/>
      <c r="O772" s="58"/>
      <c r="P772" s="58"/>
      <c r="Q772" s="58"/>
    </row>
    <row r="773" spans="1:17">
      <c r="A773" s="2707"/>
      <c r="B773" s="231"/>
      <c r="C773" s="232"/>
      <c r="D773" s="232"/>
      <c r="E773" s="232"/>
      <c r="F773" s="232"/>
      <c r="G773" s="232"/>
      <c r="H773" s="232"/>
      <c r="I773" s="232"/>
      <c r="J773" s="232"/>
      <c r="K773" s="232"/>
      <c r="L773" s="2737" t="s">
        <v>75</v>
      </c>
      <c r="M773" s="2737"/>
      <c r="N773" s="233"/>
      <c r="O773" s="58"/>
      <c r="P773" s="58"/>
      <c r="Q773" s="58"/>
    </row>
    <row r="774" spans="1:17" ht="15.75">
      <c r="A774" s="2707"/>
      <c r="B774" s="232"/>
      <c r="C774" s="232"/>
      <c r="D774" s="232"/>
      <c r="E774" s="232"/>
      <c r="F774" s="232"/>
      <c r="G774" s="232"/>
      <c r="H774" s="232"/>
      <c r="I774" s="232"/>
      <c r="J774" s="232"/>
      <c r="K774" s="234" t="s">
        <v>316</v>
      </c>
      <c r="L774" s="2731" t="s">
        <v>59</v>
      </c>
      <c r="M774" s="2732"/>
      <c r="N774" s="233"/>
      <c r="O774" s="58"/>
      <c r="P774" s="58"/>
      <c r="Q774" s="58"/>
    </row>
    <row r="775" spans="1:17">
      <c r="A775" s="2707"/>
      <c r="B775" s="231"/>
      <c r="C775" s="232"/>
      <c r="D775" s="232"/>
      <c r="E775" s="232"/>
      <c r="F775" s="232"/>
      <c r="G775" s="232"/>
      <c r="H775" s="232"/>
      <c r="I775" s="232"/>
      <c r="J775" s="232"/>
      <c r="K775" s="232"/>
      <c r="L775" s="232"/>
      <c r="M775" s="235"/>
      <c r="N775" s="233"/>
      <c r="O775" s="58"/>
      <c r="P775" s="58"/>
      <c r="Q775" s="58"/>
    </row>
    <row r="776" spans="1:17" ht="18">
      <c r="A776" s="2707"/>
      <c r="B776" s="231"/>
      <c r="C776" s="232"/>
      <c r="D776" s="232"/>
      <c r="E776" s="232"/>
      <c r="F776" s="236" t="s">
        <v>256</v>
      </c>
      <c r="G776" s="237" t="s">
        <v>228</v>
      </c>
      <c r="H776" s="2302" t="s">
        <v>229</v>
      </c>
      <c r="I776" s="2303" t="s">
        <v>230</v>
      </c>
      <c r="J776" s="2302" t="s">
        <v>215</v>
      </c>
      <c r="K776" s="2302" t="s">
        <v>317</v>
      </c>
      <c r="L776" s="232"/>
      <c r="M776" s="232"/>
      <c r="N776" s="233"/>
      <c r="O776" s="58"/>
      <c r="P776" s="58"/>
      <c r="Q776" s="58"/>
    </row>
    <row r="777" spans="1:17" ht="18.75">
      <c r="A777" s="2707"/>
      <c r="B777" s="231"/>
      <c r="C777" s="232"/>
      <c r="D777" s="232"/>
      <c r="E777" s="232"/>
      <c r="F777" s="238" t="s">
        <v>222</v>
      </c>
      <c r="G777" s="239">
        <v>50</v>
      </c>
      <c r="H777" s="239">
        <v>500</v>
      </c>
      <c r="I777" s="239">
        <v>150</v>
      </c>
      <c r="J777" s="239">
        <v>13</v>
      </c>
      <c r="K777" s="239">
        <v>13</v>
      </c>
      <c r="L777" s="99">
        <f>SUM(G777:K777)</f>
        <v>726</v>
      </c>
      <c r="M777" s="240" t="s">
        <v>223</v>
      </c>
      <c r="N777" s="233"/>
      <c r="O777" s="58"/>
      <c r="P777" s="58"/>
      <c r="Q777" s="58"/>
    </row>
    <row r="778" spans="1:17" ht="18.75">
      <c r="A778" s="2707"/>
      <c r="B778" s="231"/>
      <c r="C778" s="232"/>
      <c r="D778" s="232"/>
      <c r="E778" s="232"/>
      <c r="F778" s="241" t="s">
        <v>318</v>
      </c>
      <c r="G778" s="242">
        <v>0.5</v>
      </c>
      <c r="H778" s="242">
        <v>1</v>
      </c>
      <c r="I778" s="242">
        <v>1</v>
      </c>
      <c r="J778" s="242">
        <v>2</v>
      </c>
      <c r="K778" s="242">
        <v>1</v>
      </c>
      <c r="L778" s="243">
        <f>SUM(G778:K778)/COUNTIF(G778:K778,"&gt;0")</f>
        <v>1.1000000000000001</v>
      </c>
      <c r="M778" s="240" t="s">
        <v>319</v>
      </c>
      <c r="N778" s="233"/>
      <c r="O778" s="58"/>
      <c r="P778" s="58"/>
      <c r="Q778" s="58"/>
    </row>
    <row r="779" spans="1:17" ht="18">
      <c r="A779" s="2707"/>
      <c r="B779" s="231"/>
      <c r="C779" s="232"/>
      <c r="D779" s="232"/>
      <c r="E779" s="232"/>
      <c r="F779" s="244" t="s">
        <v>320</v>
      </c>
      <c r="G779" s="245">
        <f>G778*G777</f>
        <v>25</v>
      </c>
      <c r="H779" s="1724">
        <f>H778*H777</f>
        <v>500</v>
      </c>
      <c r="I779" s="1724">
        <f>I778*I777</f>
        <v>150</v>
      </c>
      <c r="J779" s="1724">
        <f>J778*J777</f>
        <v>26</v>
      </c>
      <c r="K779" s="1724">
        <f>K778*K777</f>
        <v>13</v>
      </c>
      <c r="L779" s="99">
        <f>SUM(G779:K779)</f>
        <v>714</v>
      </c>
      <c r="M779" s="240" t="str">
        <f>L774</f>
        <v>pommes</v>
      </c>
      <c r="N779" s="233"/>
      <c r="O779" s="58"/>
      <c r="P779" s="58"/>
      <c r="Q779" s="58"/>
    </row>
    <row r="780" spans="1:17">
      <c r="A780" s="2707"/>
      <c r="B780" s="231"/>
      <c r="C780" s="232"/>
      <c r="D780" s="232"/>
      <c r="E780" s="232"/>
      <c r="F780" s="232"/>
      <c r="G780" s="246" t="str">
        <f>L774</f>
        <v>pommes</v>
      </c>
      <c r="H780" s="246" t="str">
        <f>L774</f>
        <v>pommes</v>
      </c>
      <c r="I780" s="246" t="str">
        <f>L774</f>
        <v>pommes</v>
      </c>
      <c r="J780" s="246" t="str">
        <f>L774</f>
        <v>pommes</v>
      </c>
      <c r="K780" s="246" t="str">
        <f>L774</f>
        <v>pommes</v>
      </c>
      <c r="L780" s="232"/>
      <c r="M780" s="235"/>
      <c r="N780" s="233"/>
      <c r="O780" s="58"/>
      <c r="P780" s="58"/>
      <c r="Q780" s="58"/>
    </row>
    <row r="781" spans="1:17" ht="18">
      <c r="A781" s="2707"/>
      <c r="B781" s="247"/>
      <c r="C781" s="248" t="s">
        <v>225</v>
      </c>
      <c r="D781" s="249">
        <v>10</v>
      </c>
      <c r="E781" s="250" t="s">
        <v>95</v>
      </c>
      <c r="F781" s="251"/>
      <c r="G781" s="251"/>
      <c r="H781" s="232"/>
      <c r="I781" s="232"/>
      <c r="J781" s="232"/>
      <c r="K781" s="232"/>
      <c r="L781" s="232"/>
      <c r="M781" s="235"/>
      <c r="N781" s="233"/>
      <c r="O781" s="58"/>
      <c r="P781" s="58"/>
      <c r="Q781" s="58"/>
    </row>
    <row r="782" spans="1:17" ht="18">
      <c r="A782" s="2707"/>
      <c r="B782" s="231"/>
      <c r="C782" s="232"/>
      <c r="D782" s="232"/>
      <c r="E782" s="232"/>
      <c r="F782" s="244" t="s">
        <v>234</v>
      </c>
      <c r="G782" s="1725">
        <f>G779/(100-D781)*100</f>
        <v>27.777777777777779</v>
      </c>
      <c r="H782" s="1725">
        <f>H779/(100-D781)*100</f>
        <v>555.55555555555554</v>
      </c>
      <c r="I782" s="1725">
        <f>I779/(100-D781)*100</f>
        <v>166.66666666666669</v>
      </c>
      <c r="J782" s="1725">
        <f>J779/(100-D781)*100</f>
        <v>28.888888888888886</v>
      </c>
      <c r="K782" s="1725">
        <f>K779/(100-D781)*100</f>
        <v>14.444444444444443</v>
      </c>
      <c r="L782" s="252">
        <f>SUM(G782:K782)</f>
        <v>793.33333333333337</v>
      </c>
      <c r="M782" s="240" t="str">
        <f>L774</f>
        <v>pommes</v>
      </c>
      <c r="N782" s="233"/>
      <c r="O782" s="58"/>
      <c r="P782" s="58"/>
      <c r="Q782" s="58"/>
    </row>
    <row r="783" spans="1:17" ht="18">
      <c r="A783" s="2707"/>
      <c r="B783" s="231"/>
      <c r="C783" s="232"/>
      <c r="D783" s="232"/>
      <c r="E783" s="232"/>
      <c r="F783" s="244"/>
      <c r="G783" s="253" t="str">
        <f>L774</f>
        <v>pommes</v>
      </c>
      <c r="H783" s="253" t="str">
        <f>L774</f>
        <v>pommes</v>
      </c>
      <c r="I783" s="253" t="str">
        <f>L774</f>
        <v>pommes</v>
      </c>
      <c r="J783" s="253" t="str">
        <f>L774</f>
        <v>pommes</v>
      </c>
      <c r="K783" s="253" t="str">
        <f>L774</f>
        <v>pommes</v>
      </c>
      <c r="L783" s="99"/>
      <c r="M783" s="240"/>
      <c r="N783" s="233"/>
      <c r="O783" s="58"/>
      <c r="P783" s="58"/>
      <c r="Q783" s="58"/>
    </row>
    <row r="784" spans="1:17">
      <c r="A784" s="2707"/>
      <c r="B784" s="2304"/>
      <c r="C784" s="254"/>
      <c r="D784" s="254"/>
      <c r="E784" s="254"/>
      <c r="F784" s="254"/>
      <c r="G784" s="254"/>
      <c r="H784" s="254"/>
      <c r="I784" s="254"/>
      <c r="J784" s="254"/>
      <c r="K784" s="254"/>
      <c r="L784" s="254"/>
      <c r="M784" s="254"/>
      <c r="N784" s="2305"/>
      <c r="O784" s="58"/>
      <c r="P784" s="58"/>
      <c r="Q784" s="58"/>
    </row>
    <row r="785" spans="1:17" ht="18.75">
      <c r="A785" s="2707"/>
      <c r="B785" s="255" t="s">
        <v>75</v>
      </c>
      <c r="C785" s="2306" t="s">
        <v>321</v>
      </c>
      <c r="D785" s="256"/>
      <c r="E785" s="256"/>
      <c r="F785" s="256"/>
      <c r="G785" s="256"/>
      <c r="H785" s="256"/>
      <c r="I785" s="256"/>
      <c r="J785" s="256"/>
      <c r="K785" s="256"/>
      <c r="L785" s="256"/>
      <c r="M785" s="256"/>
      <c r="N785" s="257"/>
      <c r="O785" s="58"/>
      <c r="P785" s="58"/>
      <c r="Q785" s="58"/>
    </row>
    <row r="786" spans="1:17" ht="18.75">
      <c r="A786" s="2707"/>
      <c r="B786" s="258"/>
      <c r="C786" s="2731" t="s">
        <v>322</v>
      </c>
      <c r="D786" s="2732"/>
      <c r="E786" s="259"/>
      <c r="F786" s="2731" t="s">
        <v>45</v>
      </c>
      <c r="G786" s="2732"/>
      <c r="H786" s="259"/>
      <c r="I786" s="2731" t="s">
        <v>323</v>
      </c>
      <c r="J786" s="2732"/>
      <c r="K786" s="259"/>
      <c r="L786" s="2731" t="s">
        <v>324</v>
      </c>
      <c r="M786" s="2732"/>
      <c r="N786" s="260"/>
      <c r="O786" s="58"/>
      <c r="P786" s="58"/>
      <c r="Q786" s="58"/>
    </row>
    <row r="787" spans="1:17" ht="18.75">
      <c r="A787" s="2707"/>
      <c r="B787" s="261" t="s">
        <v>95</v>
      </c>
      <c r="C787" s="262" t="s">
        <v>325</v>
      </c>
      <c r="D787" s="259"/>
      <c r="E787" s="259"/>
      <c r="F787" s="259"/>
      <c r="G787" s="259"/>
      <c r="H787" s="259"/>
      <c r="I787" s="259"/>
      <c r="J787" s="259"/>
      <c r="K787" s="259"/>
      <c r="L787" s="259"/>
      <c r="M787" s="259"/>
      <c r="N787" s="260"/>
      <c r="O787" s="58"/>
      <c r="P787" s="58"/>
      <c r="Q787" s="58"/>
    </row>
    <row r="788" spans="1:17">
      <c r="A788" s="2707"/>
      <c r="B788" s="2697" t="s">
        <v>326</v>
      </c>
      <c r="C788" s="2698"/>
      <c r="D788" s="2698"/>
      <c r="E788" s="2698"/>
      <c r="F788" s="2698"/>
      <c r="G788" s="2698"/>
      <c r="H788" s="2698"/>
      <c r="I788" s="2698"/>
      <c r="J788" s="2698"/>
      <c r="K788" s="2698"/>
      <c r="L788" s="2698"/>
      <c r="M788" s="2698"/>
      <c r="N788" s="2699"/>
      <c r="O788" s="58"/>
      <c r="P788" s="58"/>
      <c r="Q788" s="58"/>
    </row>
    <row r="789" spans="1:17">
      <c r="A789" s="2707"/>
      <c r="B789" s="2700"/>
      <c r="C789" s="2701"/>
      <c r="D789" s="2701"/>
      <c r="E789" s="2701"/>
      <c r="F789" s="2701"/>
      <c r="G789" s="2701"/>
      <c r="H789" s="2701"/>
      <c r="I789" s="2701"/>
      <c r="J789" s="2701"/>
      <c r="K789" s="2701"/>
      <c r="L789" s="2701"/>
      <c r="M789" s="2701"/>
      <c r="N789" s="2702"/>
      <c r="O789" s="58"/>
      <c r="P789" s="58"/>
      <c r="Q789" s="58"/>
    </row>
    <row r="790" spans="1:17">
      <c r="A790" s="2707"/>
      <c r="B790" s="263" t="s">
        <v>7</v>
      </c>
      <c r="C790" s="2703" t="str">
        <f ca="1">CELL("nomfichier")</f>
        <v>F:\Bureau\pour UPRT 5 decembre\[re-boudins-blancs.xlsx]CONTENU</v>
      </c>
      <c r="D790" s="2703"/>
      <c r="E790" s="2703"/>
      <c r="F790" s="2703"/>
      <c r="G790" s="2703"/>
      <c r="H790" s="2703"/>
      <c r="I790" s="2703"/>
      <c r="J790" s="2703"/>
      <c r="K790" s="2703"/>
      <c r="L790" s="2703"/>
      <c r="M790" s="2703"/>
      <c r="N790" s="2704"/>
      <c r="O790" s="58"/>
      <c r="P790" s="58"/>
      <c r="Q790" s="58"/>
    </row>
    <row r="791" spans="1:17">
      <c r="A791" s="2707"/>
      <c r="B791" s="264" t="s">
        <v>16</v>
      </c>
      <c r="C791" s="2705" t="s">
        <v>327</v>
      </c>
      <c r="D791" s="2705"/>
      <c r="E791" s="2705"/>
      <c r="F791" s="2705"/>
      <c r="G791" s="2705"/>
      <c r="H791" s="2705"/>
      <c r="I791" s="2705"/>
      <c r="J791" s="2705"/>
      <c r="K791" s="2705"/>
      <c r="L791" s="2705"/>
      <c r="M791" s="2705"/>
      <c r="N791" s="2706"/>
      <c r="O791" s="58"/>
      <c r="P791" s="58"/>
      <c r="Q791" s="58"/>
    </row>
    <row r="792" spans="1:17" ht="15.75" thickBot="1">
      <c r="A792" s="2707"/>
      <c r="B792" s="2657" t="s">
        <v>8</v>
      </c>
      <c r="C792" s="2658"/>
      <c r="D792" s="2658"/>
      <c r="E792" s="2658"/>
      <c r="F792" s="2658"/>
      <c r="G792" s="2658"/>
      <c r="H792" s="2658"/>
      <c r="I792" s="2658"/>
      <c r="J792" s="2658"/>
      <c r="K792" s="2658"/>
      <c r="L792" s="2658"/>
      <c r="M792" s="2658"/>
      <c r="N792" s="2659"/>
      <c r="O792" s="58"/>
      <c r="P792" s="58"/>
      <c r="Q792" s="58"/>
    </row>
    <row r="793" spans="1:17" ht="39.75" customHeight="1" thickBot="1">
      <c r="A793" s="75"/>
      <c r="B793" s="75"/>
      <c r="C793" s="75"/>
      <c r="D793" s="75"/>
      <c r="E793" s="75"/>
      <c r="F793" s="75"/>
      <c r="G793" s="75"/>
      <c r="H793" s="75"/>
      <c r="I793" s="75"/>
      <c r="J793" s="75"/>
      <c r="K793" s="75"/>
      <c r="L793" s="75"/>
      <c r="M793" s="75"/>
      <c r="N793" s="75"/>
      <c r="O793" s="58"/>
      <c r="P793" s="58"/>
      <c r="Q793" s="58"/>
    </row>
    <row r="794" spans="1:17">
      <c r="A794" s="2723" t="s">
        <v>76</v>
      </c>
      <c r="B794" s="2725" t="s">
        <v>328</v>
      </c>
      <c r="C794" s="2726"/>
      <c r="D794" s="2726"/>
      <c r="E794" s="2726"/>
      <c r="F794" s="2726"/>
      <c r="G794" s="2726"/>
      <c r="H794" s="2726"/>
      <c r="I794" s="2726"/>
      <c r="J794" s="2726"/>
      <c r="K794" s="2726"/>
      <c r="L794" s="2726"/>
      <c r="M794" s="2726"/>
      <c r="N794" s="2729">
        <v>2</v>
      </c>
      <c r="O794" s="58"/>
      <c r="P794" s="58"/>
      <c r="Q794" s="58"/>
    </row>
    <row r="795" spans="1:17">
      <c r="A795" s="2724"/>
      <c r="B795" s="2727"/>
      <c r="C795" s="2728"/>
      <c r="D795" s="2728"/>
      <c r="E795" s="2728"/>
      <c r="F795" s="2728"/>
      <c r="G795" s="2728"/>
      <c r="H795" s="2728"/>
      <c r="I795" s="2728"/>
      <c r="J795" s="2728"/>
      <c r="K795" s="2728"/>
      <c r="L795" s="2728"/>
      <c r="M795" s="2728"/>
      <c r="N795" s="2730"/>
      <c r="O795" s="58"/>
      <c r="P795" s="58"/>
      <c r="Q795" s="58"/>
    </row>
    <row r="796" spans="1:17" ht="20.25">
      <c r="A796" s="2707"/>
      <c r="B796" s="2708" t="s">
        <v>314</v>
      </c>
      <c r="C796" s="2709"/>
      <c r="D796" s="2709"/>
      <c r="E796" s="2709"/>
      <c r="F796" s="2709"/>
      <c r="G796" s="2709"/>
      <c r="H796" s="2709"/>
      <c r="I796" s="2709"/>
      <c r="J796" s="2709"/>
      <c r="K796" s="2709"/>
      <c r="L796" s="2709"/>
      <c r="M796" s="2709"/>
      <c r="N796" s="2710"/>
      <c r="O796" s="58"/>
      <c r="P796" s="58"/>
      <c r="Q796" s="58"/>
    </row>
    <row r="797" spans="1:17">
      <c r="A797" s="2707"/>
      <c r="B797" s="2711" t="s">
        <v>329</v>
      </c>
      <c r="C797" s="2712"/>
      <c r="D797" s="2712"/>
      <c r="E797" s="2712"/>
      <c r="F797" s="2712"/>
      <c r="G797" s="2712"/>
      <c r="H797" s="2712"/>
      <c r="I797" s="2712"/>
      <c r="J797" s="2712"/>
      <c r="K797" s="2712"/>
      <c r="L797" s="2712"/>
      <c r="M797" s="2712"/>
      <c r="N797" s="2713"/>
      <c r="O797" s="58"/>
      <c r="P797" s="58"/>
      <c r="Q797" s="58"/>
    </row>
    <row r="798" spans="1:17">
      <c r="A798" s="2707"/>
      <c r="B798" s="2711"/>
      <c r="C798" s="2712"/>
      <c r="D798" s="2712"/>
      <c r="E798" s="2712"/>
      <c r="F798" s="2712"/>
      <c r="G798" s="2712"/>
      <c r="H798" s="2712"/>
      <c r="I798" s="2712"/>
      <c r="J798" s="2712"/>
      <c r="K798" s="2712"/>
      <c r="L798" s="2712"/>
      <c r="M798" s="2712"/>
      <c r="N798" s="2713"/>
      <c r="O798" s="58"/>
      <c r="P798" s="58"/>
      <c r="Q798" s="58"/>
    </row>
    <row r="799" spans="1:17">
      <c r="A799" s="2707"/>
      <c r="B799" s="2711"/>
      <c r="C799" s="2712"/>
      <c r="D799" s="2712"/>
      <c r="E799" s="2712"/>
      <c r="F799" s="2712"/>
      <c r="G799" s="2712"/>
      <c r="H799" s="2712"/>
      <c r="I799" s="2712"/>
      <c r="J799" s="2712"/>
      <c r="K799" s="2712"/>
      <c r="L799" s="2712"/>
      <c r="M799" s="2712"/>
      <c r="N799" s="2713"/>
      <c r="O799" s="58"/>
      <c r="P799" s="58"/>
      <c r="Q799" s="58"/>
    </row>
    <row r="800" spans="1:17">
      <c r="A800" s="2707"/>
      <c r="B800" s="2711"/>
      <c r="C800" s="2712"/>
      <c r="D800" s="2712"/>
      <c r="E800" s="2712"/>
      <c r="F800" s="2712"/>
      <c r="G800" s="2712"/>
      <c r="H800" s="2712"/>
      <c r="I800" s="2712"/>
      <c r="J800" s="2712"/>
      <c r="K800" s="2712"/>
      <c r="L800" s="2712"/>
      <c r="M800" s="2712"/>
      <c r="N800" s="2713"/>
      <c r="O800" s="58"/>
      <c r="P800" s="58"/>
      <c r="Q800" s="58"/>
    </row>
    <row r="801" spans="1:17">
      <c r="A801" s="2707"/>
      <c r="B801" s="2714"/>
      <c r="C801" s="2715"/>
      <c r="D801" s="2715"/>
      <c r="E801" s="2715"/>
      <c r="F801" s="2715"/>
      <c r="G801" s="2715"/>
      <c r="H801" s="2715"/>
      <c r="I801" s="2715"/>
      <c r="J801" s="2715"/>
      <c r="K801" s="2715"/>
      <c r="L801" s="2715"/>
      <c r="M801" s="2715"/>
      <c r="N801" s="2716"/>
      <c r="O801" s="58"/>
      <c r="P801" s="58"/>
      <c r="Q801" s="58"/>
    </row>
    <row r="802" spans="1:17">
      <c r="A802" s="2707"/>
      <c r="B802" s="265"/>
      <c r="C802" s="266"/>
      <c r="D802" s="266"/>
      <c r="E802" s="266"/>
      <c r="F802" s="266"/>
      <c r="G802" s="266"/>
      <c r="H802" s="266"/>
      <c r="I802" s="266"/>
      <c r="J802" s="266"/>
      <c r="K802" s="266"/>
      <c r="L802" s="2717" t="s">
        <v>75</v>
      </c>
      <c r="M802" s="2717"/>
      <c r="N802" s="267"/>
      <c r="O802" s="58"/>
      <c r="P802" s="58"/>
      <c r="Q802" s="58"/>
    </row>
    <row r="803" spans="1:17" ht="18">
      <c r="A803" s="2707"/>
      <c r="B803" s="265"/>
      <c r="C803" s="266"/>
      <c r="D803" s="266"/>
      <c r="E803" s="266"/>
      <c r="F803" s="266"/>
      <c r="G803" s="266"/>
      <c r="H803" s="266"/>
      <c r="I803" s="266"/>
      <c r="J803" s="268"/>
      <c r="K803" s="244" t="s">
        <v>330</v>
      </c>
      <c r="L803" s="2718">
        <v>2.4</v>
      </c>
      <c r="M803" s="2718"/>
      <c r="N803" s="267"/>
      <c r="O803" s="58"/>
      <c r="P803" s="58"/>
      <c r="Q803" s="58"/>
    </row>
    <row r="804" spans="1:17">
      <c r="A804" s="2707"/>
      <c r="B804" s="269"/>
      <c r="C804" s="270"/>
      <c r="D804" s="270"/>
      <c r="E804" s="270"/>
      <c r="F804" s="266"/>
      <c r="G804" s="266"/>
      <c r="H804" s="266"/>
      <c r="I804" s="266"/>
      <c r="J804" s="266"/>
      <c r="K804" s="271"/>
      <c r="L804" s="2718"/>
      <c r="M804" s="2718"/>
      <c r="N804" s="267"/>
      <c r="O804" s="58"/>
      <c r="P804" s="58"/>
      <c r="Q804" s="58"/>
    </row>
    <row r="805" spans="1:17">
      <c r="A805" s="2707"/>
      <c r="B805" s="265"/>
      <c r="C805" s="266"/>
      <c r="D805" s="266"/>
      <c r="E805" s="266"/>
      <c r="F805" s="266"/>
      <c r="G805" s="266"/>
      <c r="H805" s="266"/>
      <c r="I805" s="266"/>
      <c r="J805" s="266"/>
      <c r="K805" s="266"/>
      <c r="L805" s="266"/>
      <c r="M805" s="266"/>
      <c r="N805" s="267"/>
      <c r="O805" s="58"/>
      <c r="P805" s="58"/>
      <c r="Q805" s="58"/>
    </row>
    <row r="806" spans="1:17" ht="18">
      <c r="A806" s="2707"/>
      <c r="B806" s="265"/>
      <c r="C806" s="266"/>
      <c r="D806" s="266"/>
      <c r="E806" s="266"/>
      <c r="F806" s="272" t="s">
        <v>256</v>
      </c>
      <c r="G806" s="2307" t="s">
        <v>228</v>
      </c>
      <c r="H806" s="2307" t="s">
        <v>229</v>
      </c>
      <c r="I806" s="2308" t="s">
        <v>230</v>
      </c>
      <c r="J806" s="2307" t="s">
        <v>215</v>
      </c>
      <c r="K806" s="2307" t="s">
        <v>317</v>
      </c>
      <c r="L806" s="266"/>
      <c r="M806" s="266"/>
      <c r="N806" s="267"/>
      <c r="O806" s="58"/>
      <c r="P806" s="58"/>
      <c r="Q806" s="58"/>
    </row>
    <row r="807" spans="1:17" ht="18">
      <c r="A807" s="2707"/>
      <c r="B807" s="265"/>
      <c r="C807" s="266"/>
      <c r="D807" s="266"/>
      <c r="E807" s="266"/>
      <c r="F807" s="241" t="s">
        <v>331</v>
      </c>
      <c r="G807" s="273">
        <v>0.05</v>
      </c>
      <c r="H807" s="273">
        <v>0.08</v>
      </c>
      <c r="I807" s="273">
        <v>0.11</v>
      </c>
      <c r="J807" s="273">
        <v>0.125</v>
      </c>
      <c r="K807" s="273">
        <v>7.0000000000000007E-2</v>
      </c>
      <c r="L807" s="243">
        <f>SUM(G807:K807)/COUNTIF(G807:K807,"&gt;0")</f>
        <v>8.6999999999999994E-2</v>
      </c>
      <c r="M807" s="240" t="s">
        <v>319</v>
      </c>
      <c r="N807" s="267"/>
      <c r="O807" s="58"/>
      <c r="P807" s="58"/>
      <c r="Q807" s="58"/>
    </row>
    <row r="808" spans="1:17" ht="18.75">
      <c r="A808" s="2707"/>
      <c r="B808" s="265"/>
      <c r="C808" s="266"/>
      <c r="D808" s="266"/>
      <c r="E808" s="266"/>
      <c r="F808" s="244" t="s">
        <v>332</v>
      </c>
      <c r="G808" s="274">
        <f>L803/G807</f>
        <v>47.999999999999993</v>
      </c>
      <c r="H808" s="274">
        <f>L803/H807</f>
        <v>30</v>
      </c>
      <c r="I808" s="274">
        <f>L803/I807</f>
        <v>21.818181818181817</v>
      </c>
      <c r="J808" s="274">
        <f>L803/J807</f>
        <v>19.2</v>
      </c>
      <c r="K808" s="274">
        <f>L803/K807</f>
        <v>34.285714285714285</v>
      </c>
      <c r="L808" s="195" t="s">
        <v>333</v>
      </c>
      <c r="M808" s="240"/>
      <c r="N808" s="267"/>
      <c r="O808" s="58"/>
      <c r="P808" s="58"/>
      <c r="Q808" s="58"/>
    </row>
    <row r="809" spans="1:17" ht="18.75">
      <c r="A809" s="2707"/>
      <c r="B809" s="275" t="s">
        <v>75</v>
      </c>
      <c r="C809" s="276" t="s">
        <v>334</v>
      </c>
      <c r="D809" s="266"/>
      <c r="E809" s="266"/>
      <c r="F809" s="244"/>
      <c r="G809" s="277"/>
      <c r="H809" s="277"/>
      <c r="I809" s="277"/>
      <c r="J809" s="277"/>
      <c r="K809" s="277"/>
      <c r="L809" s="195"/>
      <c r="M809" s="240"/>
      <c r="N809" s="267"/>
      <c r="O809" s="58"/>
      <c r="P809" s="58"/>
      <c r="Q809" s="58"/>
    </row>
    <row r="810" spans="1:17">
      <c r="A810" s="2707"/>
      <c r="B810" s="2719" t="s">
        <v>335</v>
      </c>
      <c r="C810" s="2720"/>
      <c r="D810" s="2720"/>
      <c r="E810" s="2720"/>
      <c r="F810" s="2720"/>
      <c r="G810" s="2720"/>
      <c r="H810" s="2720"/>
      <c r="I810" s="2720"/>
      <c r="J810" s="2720"/>
      <c r="K810" s="2720"/>
      <c r="L810" s="2720"/>
      <c r="M810" s="2720"/>
      <c r="N810" s="2721"/>
      <c r="O810" s="58"/>
      <c r="P810" s="58"/>
      <c r="Q810" s="58"/>
    </row>
    <row r="811" spans="1:17" ht="15.75">
      <c r="A811" s="2707"/>
      <c r="B811" s="278"/>
      <c r="C811" s="279"/>
      <c r="D811" s="279"/>
      <c r="E811" s="279"/>
      <c r="F811" s="266"/>
      <c r="G811" s="266"/>
      <c r="H811" s="99"/>
      <c r="I811" s="99"/>
      <c r="J811" s="99"/>
      <c r="K811" s="99"/>
      <c r="L811" s="2722" t="s">
        <v>95</v>
      </c>
      <c r="M811" s="2722"/>
      <c r="N811" s="267"/>
      <c r="O811" s="58"/>
      <c r="P811" s="58"/>
      <c r="Q811" s="58"/>
    </row>
    <row r="812" spans="1:17" ht="15.75">
      <c r="A812" s="2707"/>
      <c r="B812" s="278"/>
      <c r="C812" s="279"/>
      <c r="D812" s="279"/>
      <c r="E812" s="279"/>
      <c r="F812" s="266"/>
      <c r="G812" s="266"/>
      <c r="H812" s="99"/>
      <c r="I812" s="99"/>
      <c r="J812" s="99"/>
      <c r="K812" s="280" t="s">
        <v>316</v>
      </c>
      <c r="L812" s="2695" t="s">
        <v>45</v>
      </c>
      <c r="M812" s="2696"/>
      <c r="N812" s="267"/>
      <c r="O812" s="58"/>
      <c r="P812" s="58"/>
      <c r="Q812" s="58"/>
    </row>
    <row r="813" spans="1:17" ht="18">
      <c r="A813" s="2707"/>
      <c r="B813" s="265"/>
      <c r="C813" s="266"/>
      <c r="D813" s="99"/>
      <c r="E813" s="99"/>
      <c r="F813" s="99"/>
      <c r="G813" s="99"/>
      <c r="H813" s="99"/>
      <c r="I813" s="99"/>
      <c r="J813" s="99"/>
      <c r="K813" s="99"/>
      <c r="L813" s="99"/>
      <c r="M813" s="240"/>
      <c r="N813" s="267"/>
      <c r="O813" s="58"/>
      <c r="P813" s="58"/>
      <c r="Q813" s="58"/>
    </row>
    <row r="814" spans="1:17" ht="18.75">
      <c r="A814" s="2707"/>
      <c r="B814" s="265"/>
      <c r="C814" s="266"/>
      <c r="D814" s="266"/>
      <c r="E814" s="266"/>
      <c r="F814" s="238" t="s">
        <v>222</v>
      </c>
      <c r="G814" s="239">
        <v>50</v>
      </c>
      <c r="H814" s="239">
        <v>500</v>
      </c>
      <c r="I814" s="239">
        <v>150</v>
      </c>
      <c r="J814" s="239">
        <v>13</v>
      </c>
      <c r="K814" s="239">
        <v>13</v>
      </c>
      <c r="L814" s="99">
        <f>SUM(G814:K814)</f>
        <v>726</v>
      </c>
      <c r="M814" s="240" t="s">
        <v>223</v>
      </c>
      <c r="N814" s="267"/>
      <c r="O814" s="58"/>
      <c r="P814" s="58"/>
      <c r="Q814" s="58"/>
    </row>
    <row r="815" spans="1:17" ht="18.75">
      <c r="A815" s="2707"/>
      <c r="B815" s="265"/>
      <c r="C815" s="266"/>
      <c r="D815" s="266"/>
      <c r="E815" s="266"/>
      <c r="F815" s="244" t="s">
        <v>336</v>
      </c>
      <c r="G815" s="2309">
        <f>G807*G814</f>
        <v>2.5</v>
      </c>
      <c r="H815" s="2309">
        <f>H807*H814</f>
        <v>40</v>
      </c>
      <c r="I815" s="2309">
        <f>I807*I814</f>
        <v>16.5</v>
      </c>
      <c r="J815" s="2309">
        <f>J807*J814</f>
        <v>1.625</v>
      </c>
      <c r="K815" s="2309">
        <f>K807*K814</f>
        <v>0.91000000000000014</v>
      </c>
      <c r="L815" s="99">
        <f>SUM(G815:K815)</f>
        <v>61.534999999999997</v>
      </c>
      <c r="M815" s="240" t="str">
        <f>L812</f>
        <v>Kg</v>
      </c>
      <c r="N815" s="267"/>
      <c r="O815" s="58"/>
      <c r="P815" s="58"/>
      <c r="Q815" s="58"/>
    </row>
    <row r="816" spans="1:17">
      <c r="A816" s="2707"/>
      <c r="B816" s="265"/>
      <c r="C816" s="266"/>
      <c r="D816" s="266"/>
      <c r="E816" s="266"/>
      <c r="F816" s="266"/>
      <c r="G816" s="246" t="str">
        <f>L812</f>
        <v>Kg</v>
      </c>
      <c r="H816" s="246" t="str">
        <f>L812</f>
        <v>Kg</v>
      </c>
      <c r="I816" s="246" t="str">
        <f>L812</f>
        <v>Kg</v>
      </c>
      <c r="J816" s="246" t="str">
        <f>L812</f>
        <v>Kg</v>
      </c>
      <c r="K816" s="246" t="str">
        <f>L812</f>
        <v>Kg</v>
      </c>
      <c r="L816" s="266"/>
      <c r="M816" s="281"/>
      <c r="N816" s="267"/>
      <c r="O816" s="58"/>
      <c r="P816" s="58"/>
      <c r="Q816" s="58"/>
    </row>
    <row r="817" spans="1:19" ht="18">
      <c r="A817" s="2707"/>
      <c r="B817" s="139"/>
      <c r="C817" s="248" t="s">
        <v>225</v>
      </c>
      <c r="D817" s="249">
        <v>50</v>
      </c>
      <c r="E817" s="250" t="s">
        <v>98</v>
      </c>
      <c r="F817" s="268"/>
      <c r="G817" s="268"/>
      <c r="H817" s="266"/>
      <c r="I817" s="266"/>
      <c r="J817" s="266"/>
      <c r="K817" s="266"/>
      <c r="L817" s="266"/>
      <c r="M817" s="281"/>
      <c r="N817" s="267"/>
      <c r="O817" s="58"/>
      <c r="P817" s="58"/>
      <c r="Q817" s="58"/>
    </row>
    <row r="818" spans="1:19" ht="18">
      <c r="A818" s="2707"/>
      <c r="B818" s="265"/>
      <c r="C818" s="266"/>
      <c r="D818" s="266"/>
      <c r="E818" s="266"/>
      <c r="F818" s="244" t="s">
        <v>234</v>
      </c>
      <c r="G818" s="1725">
        <f>G815/(100-D817)*100</f>
        <v>5</v>
      </c>
      <c r="H818" s="1725">
        <f>H815/(100-D817)*100</f>
        <v>80</v>
      </c>
      <c r="I818" s="1725">
        <f>I815/(100-D817)*100</f>
        <v>33</v>
      </c>
      <c r="J818" s="1725">
        <f>J815/(100-D817)*100</f>
        <v>3.25</v>
      </c>
      <c r="K818" s="1725">
        <f>K815/(100-D817)*100</f>
        <v>1.8200000000000005</v>
      </c>
      <c r="L818" s="99">
        <f>SUM(G818:K818)</f>
        <v>123.07000000000001</v>
      </c>
      <c r="M818" s="240" t="str">
        <f>L812</f>
        <v>Kg</v>
      </c>
      <c r="N818" s="267"/>
      <c r="O818" s="58"/>
      <c r="P818" s="58"/>
      <c r="Q818" s="58"/>
    </row>
    <row r="819" spans="1:19" ht="18">
      <c r="A819" s="2707"/>
      <c r="B819" s="265"/>
      <c r="C819" s="266"/>
      <c r="D819" s="266"/>
      <c r="E819" s="266"/>
      <c r="F819" s="244"/>
      <c r="G819" s="253" t="str">
        <f>L812</f>
        <v>Kg</v>
      </c>
      <c r="H819" s="253" t="str">
        <f>L812</f>
        <v>Kg</v>
      </c>
      <c r="I819" s="253" t="str">
        <f>L812</f>
        <v>Kg</v>
      </c>
      <c r="J819" s="253" t="str">
        <f>L812</f>
        <v>Kg</v>
      </c>
      <c r="K819" s="253" t="str">
        <f>L812</f>
        <v>Kg</v>
      </c>
      <c r="L819" s="99"/>
      <c r="M819" s="240"/>
      <c r="N819" s="267"/>
      <c r="O819" s="58"/>
      <c r="P819" s="58"/>
      <c r="Q819" s="58"/>
    </row>
    <row r="820" spans="1:19" ht="15.75">
      <c r="A820" s="2707"/>
      <c r="B820" s="2310" t="s">
        <v>98</v>
      </c>
      <c r="C820" s="262" t="s">
        <v>325</v>
      </c>
      <c r="D820" s="282"/>
      <c r="E820" s="282"/>
      <c r="F820" s="282"/>
      <c r="G820" s="282"/>
      <c r="H820" s="282"/>
      <c r="I820" s="282"/>
      <c r="J820" s="282"/>
      <c r="K820" s="282"/>
      <c r="L820" s="282"/>
      <c r="M820" s="282"/>
      <c r="N820" s="2311"/>
      <c r="O820" s="58"/>
      <c r="P820" s="58"/>
      <c r="Q820" s="58"/>
    </row>
    <row r="821" spans="1:19" ht="18.75">
      <c r="A821" s="2707"/>
      <c r="B821" s="283" t="s">
        <v>95</v>
      </c>
      <c r="C821" s="2312" t="s">
        <v>321</v>
      </c>
      <c r="D821" s="256"/>
      <c r="E821" s="256"/>
      <c r="F821" s="256"/>
      <c r="G821" s="256"/>
      <c r="H821" s="256"/>
      <c r="I821" s="256"/>
      <c r="J821" s="256"/>
      <c r="K821" s="256"/>
      <c r="L821" s="256"/>
      <c r="M821" s="256"/>
      <c r="N821" s="257"/>
      <c r="O821" s="58"/>
      <c r="P821" s="58"/>
      <c r="Q821" s="58"/>
    </row>
    <row r="822" spans="1:19" ht="18.75">
      <c r="A822" s="2707"/>
      <c r="B822" s="258"/>
      <c r="C822" s="2695" t="s">
        <v>45</v>
      </c>
      <c r="D822" s="2696"/>
      <c r="E822" s="259"/>
      <c r="F822" s="2695" t="s">
        <v>323</v>
      </c>
      <c r="G822" s="2696"/>
      <c r="H822" s="259"/>
      <c r="I822" s="2695" t="s">
        <v>324</v>
      </c>
      <c r="J822" s="2696"/>
      <c r="K822" s="259"/>
      <c r="L822" s="2695" t="s">
        <v>322</v>
      </c>
      <c r="M822" s="2696"/>
      <c r="N822" s="260"/>
      <c r="O822" s="58"/>
      <c r="P822" s="58"/>
      <c r="Q822" s="58"/>
    </row>
    <row r="823" spans="1:19" ht="18.75">
      <c r="A823" s="2707"/>
      <c r="B823" s="258"/>
      <c r="C823" s="259"/>
      <c r="D823" s="259"/>
      <c r="E823" s="259"/>
      <c r="F823" s="259"/>
      <c r="G823" s="259"/>
      <c r="H823" s="259"/>
      <c r="I823" s="259"/>
      <c r="J823" s="259"/>
      <c r="K823" s="259"/>
      <c r="L823" s="259"/>
      <c r="M823" s="259"/>
      <c r="N823" s="260"/>
      <c r="O823" s="58"/>
      <c r="P823" s="58"/>
      <c r="Q823" s="58"/>
    </row>
    <row r="824" spans="1:19">
      <c r="A824" s="2707"/>
      <c r="B824" s="2697" t="s">
        <v>326</v>
      </c>
      <c r="C824" s="2698"/>
      <c r="D824" s="2698"/>
      <c r="E824" s="2698"/>
      <c r="F824" s="2698"/>
      <c r="G824" s="2698"/>
      <c r="H824" s="2698"/>
      <c r="I824" s="2698"/>
      <c r="J824" s="2698"/>
      <c r="K824" s="2698"/>
      <c r="L824" s="2698"/>
      <c r="M824" s="2698"/>
      <c r="N824" s="2699"/>
      <c r="O824" s="58"/>
      <c r="P824" s="58"/>
      <c r="Q824" s="58"/>
    </row>
    <row r="825" spans="1:19">
      <c r="A825" s="2707"/>
      <c r="B825" s="2700"/>
      <c r="C825" s="2701"/>
      <c r="D825" s="2701"/>
      <c r="E825" s="2701"/>
      <c r="F825" s="2701"/>
      <c r="G825" s="2701"/>
      <c r="H825" s="2701"/>
      <c r="I825" s="2701"/>
      <c r="J825" s="2701"/>
      <c r="K825" s="2701"/>
      <c r="L825" s="2701"/>
      <c r="M825" s="2701"/>
      <c r="N825" s="2702"/>
      <c r="O825" s="58"/>
      <c r="P825" s="58"/>
      <c r="Q825" s="58"/>
    </row>
    <row r="826" spans="1:19">
      <c r="A826" s="2707"/>
      <c r="B826" s="263" t="s">
        <v>7</v>
      </c>
      <c r="C826" s="2703" t="str">
        <f ca="1">CELL("nomfichier")</f>
        <v>F:\Bureau\pour UPRT 5 decembre\[re-boudins-blancs.xlsx]CONTENU</v>
      </c>
      <c r="D826" s="2703"/>
      <c r="E826" s="2703"/>
      <c r="F826" s="2703"/>
      <c r="G826" s="2703"/>
      <c r="H826" s="2703"/>
      <c r="I826" s="2703"/>
      <c r="J826" s="2703"/>
      <c r="K826" s="2703"/>
      <c r="L826" s="2703"/>
      <c r="M826" s="2703"/>
      <c r="N826" s="2704"/>
      <c r="O826" s="58"/>
      <c r="P826" s="58"/>
      <c r="Q826" s="58"/>
    </row>
    <row r="827" spans="1:19">
      <c r="A827" s="2707"/>
      <c r="B827" s="264" t="s">
        <v>16</v>
      </c>
      <c r="C827" s="2705" t="s">
        <v>327</v>
      </c>
      <c r="D827" s="2705"/>
      <c r="E827" s="2705"/>
      <c r="F827" s="2705"/>
      <c r="G827" s="2705"/>
      <c r="H827" s="2705"/>
      <c r="I827" s="2705"/>
      <c r="J827" s="2705"/>
      <c r="K827" s="2705"/>
      <c r="L827" s="2705"/>
      <c r="M827" s="2705"/>
      <c r="N827" s="2706"/>
      <c r="O827" s="58"/>
      <c r="P827" s="58"/>
      <c r="Q827" s="58"/>
    </row>
    <row r="828" spans="1:19" ht="15.75" thickBot="1">
      <c r="A828" s="2707"/>
      <c r="B828" s="2657" t="s">
        <v>8</v>
      </c>
      <c r="C828" s="2658"/>
      <c r="D828" s="2658"/>
      <c r="E828" s="2658"/>
      <c r="F828" s="2658"/>
      <c r="G828" s="2658"/>
      <c r="H828" s="2658"/>
      <c r="I828" s="2658"/>
      <c r="J828" s="2658"/>
      <c r="K828" s="2658"/>
      <c r="L828" s="2658"/>
      <c r="M828" s="2658"/>
      <c r="N828" s="2659"/>
      <c r="O828" s="58"/>
      <c r="P828" s="58"/>
      <c r="Q828" s="58"/>
    </row>
    <row r="829" spans="1:19">
      <c r="A829" s="58"/>
      <c r="B829" s="57"/>
      <c r="C829" s="57"/>
      <c r="D829" s="57"/>
      <c r="E829" s="57"/>
      <c r="F829" s="57"/>
      <c r="G829" s="57"/>
      <c r="H829" s="57"/>
      <c r="I829" s="57"/>
      <c r="J829" s="57"/>
      <c r="K829" s="57"/>
      <c r="L829" s="57"/>
      <c r="M829" s="58"/>
      <c r="N829" s="58"/>
      <c r="O829" s="58"/>
      <c r="P829" s="58"/>
      <c r="Q829" s="58"/>
    </row>
    <row r="830" spans="1:19">
      <c r="A830" s="58"/>
      <c r="B830" s="57"/>
      <c r="C830" s="57"/>
      <c r="D830" s="57"/>
      <c r="E830" s="57"/>
      <c r="F830" s="57"/>
      <c r="G830" s="57"/>
      <c r="H830" s="57"/>
      <c r="I830" s="57"/>
      <c r="J830" s="57"/>
      <c r="K830" s="57"/>
      <c r="L830" s="57"/>
      <c r="M830" s="58"/>
      <c r="N830" s="58"/>
      <c r="O830" s="58"/>
      <c r="P830" s="58"/>
      <c r="Q830" s="58"/>
    </row>
    <row r="831" spans="1:19" ht="46.5" customHeight="1">
      <c r="A831" s="2313" t="s">
        <v>2540</v>
      </c>
      <c r="B831" s="2314"/>
      <c r="C831" s="2314"/>
      <c r="D831" s="2315"/>
      <c r="E831" s="2315"/>
      <c r="F831" s="2315"/>
      <c r="G831" s="2315"/>
      <c r="H831" s="2315"/>
      <c r="I831" s="2315"/>
      <c r="J831" s="2315"/>
      <c r="K831" s="2316"/>
      <c r="L831" s="2317"/>
      <c r="M831" s="2317"/>
      <c r="N831" s="2317"/>
      <c r="O831" s="2317"/>
      <c r="P831" s="2317"/>
      <c r="Q831" s="2317"/>
      <c r="R831" s="2317"/>
      <c r="S831" s="2318" t="s">
        <v>2541</v>
      </c>
    </row>
    <row r="832" spans="1:19" ht="46.5" customHeight="1">
      <c r="A832" s="2319"/>
      <c r="B832" s="2319"/>
      <c r="C832" s="2319"/>
      <c r="D832" s="2319"/>
      <c r="E832" s="2319"/>
      <c r="F832" s="2319"/>
      <c r="G832" s="2319"/>
      <c r="H832" s="2319"/>
      <c r="I832" s="2319"/>
      <c r="J832" s="2319"/>
      <c r="K832" s="2319"/>
      <c r="L832" s="2319"/>
      <c r="M832" s="2319"/>
      <c r="N832" s="2320"/>
      <c r="O832" s="2319"/>
      <c r="P832" s="2320"/>
      <c r="Q832" s="2320"/>
      <c r="R832" s="2320"/>
      <c r="S832" s="2320"/>
    </row>
    <row r="833" spans="1:19" ht="20.100000000000001" customHeight="1">
      <c r="A833" s="2660" t="s">
        <v>2542</v>
      </c>
      <c r="B833" s="2661"/>
      <c r="C833" s="2661"/>
      <c r="D833" s="2661"/>
      <c r="E833" s="2661"/>
      <c r="F833" s="2661"/>
      <c r="G833" s="2661"/>
      <c r="H833" s="2661"/>
      <c r="I833" s="2661"/>
      <c r="J833" s="2661"/>
      <c r="K833" s="2662" t="s">
        <v>2543</v>
      </c>
      <c r="L833" s="2663"/>
      <c r="M833" s="2663"/>
      <c r="N833" s="2663"/>
      <c r="O833" s="2663"/>
      <c r="P833" s="2663"/>
      <c r="Q833" s="2663"/>
      <c r="R833" s="2663"/>
      <c r="S833" s="2664"/>
    </row>
    <row r="834" spans="1:19" ht="20.100000000000001" customHeight="1">
      <c r="A834" s="2665" t="s">
        <v>500</v>
      </c>
      <c r="B834" s="2666"/>
      <c r="C834" s="2666"/>
      <c r="D834" s="2671" t="s">
        <v>2544</v>
      </c>
      <c r="E834" s="2674" t="s">
        <v>2545</v>
      </c>
      <c r="F834" s="2677" t="s">
        <v>2546</v>
      </c>
      <c r="G834" s="2678"/>
      <c r="H834" s="2678"/>
      <c r="I834" s="2678"/>
      <c r="J834" s="2679"/>
      <c r="K834" s="2680" t="s">
        <v>2547</v>
      </c>
      <c r="L834" s="2681"/>
      <c r="M834" s="2684" t="s">
        <v>2548</v>
      </c>
      <c r="N834" s="2685"/>
      <c r="O834" s="2685"/>
      <c r="P834" s="2685"/>
      <c r="Q834" s="2685"/>
      <c r="R834" s="2685"/>
      <c r="S834" s="2686"/>
    </row>
    <row r="835" spans="1:19" ht="20.100000000000001" customHeight="1">
      <c r="A835" s="2667"/>
      <c r="B835" s="2668"/>
      <c r="C835" s="2668"/>
      <c r="D835" s="2672"/>
      <c r="E835" s="2675"/>
      <c r="F835" s="2321" t="s">
        <v>228</v>
      </c>
      <c r="G835" s="2322" t="s">
        <v>229</v>
      </c>
      <c r="H835" s="2323" t="s">
        <v>230</v>
      </c>
      <c r="I835" s="2323" t="s">
        <v>215</v>
      </c>
      <c r="J835" s="2323" t="s">
        <v>257</v>
      </c>
      <c r="K835" s="2682"/>
      <c r="L835" s="2683"/>
      <c r="M835" s="2687"/>
      <c r="N835" s="2688"/>
      <c r="O835" s="2688"/>
      <c r="P835" s="2688"/>
      <c r="Q835" s="2688"/>
      <c r="R835" s="2688"/>
      <c r="S835" s="2689"/>
    </row>
    <row r="836" spans="1:19" ht="20.100000000000001" customHeight="1">
      <c r="A836" s="2667"/>
      <c r="B836" s="2668"/>
      <c r="C836" s="2668"/>
      <c r="D836" s="2672"/>
      <c r="E836" s="2675"/>
      <c r="F836" s="2324">
        <v>12</v>
      </c>
      <c r="G836" s="2324">
        <v>25</v>
      </c>
      <c r="H836" s="2324">
        <v>14</v>
      </c>
      <c r="I836" s="2324">
        <v>7</v>
      </c>
      <c r="J836" s="2324">
        <v>10</v>
      </c>
      <c r="K836" s="2693" t="s">
        <v>258</v>
      </c>
      <c r="L836" s="2694"/>
      <c r="M836" s="2687"/>
      <c r="N836" s="2688"/>
      <c r="O836" s="2688"/>
      <c r="P836" s="2688"/>
      <c r="Q836" s="2688"/>
      <c r="R836" s="2688"/>
      <c r="S836" s="2689"/>
    </row>
    <row r="837" spans="1:19" ht="20.100000000000001" customHeight="1" thickBot="1">
      <c r="A837" s="2669"/>
      <c r="B837" s="2670"/>
      <c r="C837" s="2670"/>
      <c r="D837" s="2673"/>
      <c r="E837" s="2676"/>
      <c r="F837" s="2654" t="s">
        <v>2549</v>
      </c>
      <c r="G837" s="2654"/>
      <c r="H837" s="2654"/>
      <c r="I837" s="2654"/>
      <c r="J837" s="2654"/>
      <c r="K837" s="2655">
        <f>SUM(F836:J836)</f>
        <v>68</v>
      </c>
      <c r="L837" s="2656"/>
      <c r="M837" s="2690"/>
      <c r="N837" s="2691"/>
      <c r="O837" s="2691"/>
      <c r="P837" s="2691"/>
      <c r="Q837" s="2691"/>
      <c r="R837" s="2691"/>
      <c r="S837" s="2692"/>
    </row>
    <row r="838" spans="1:19" ht="20.100000000000001" customHeight="1">
      <c r="A838" s="2325"/>
      <c r="B838" s="2326"/>
      <c r="C838" s="2326"/>
      <c r="D838" s="2326"/>
      <c r="E838" s="2326"/>
      <c r="F838" s="2326"/>
      <c r="G838" s="2326"/>
      <c r="H838" s="2326"/>
      <c r="I838" s="2326"/>
      <c r="J838" s="2326"/>
      <c r="K838" s="2326"/>
      <c r="L838" s="2326"/>
      <c r="M838" s="2326"/>
      <c r="N838" s="2326"/>
      <c r="O838" s="2326"/>
      <c r="P838" s="2326"/>
      <c r="Q838" s="2326"/>
      <c r="R838" s="2326"/>
      <c r="S838" s="2327" t="s">
        <v>2550</v>
      </c>
    </row>
    <row r="839" spans="1:19" ht="20.100000000000001" customHeight="1">
      <c r="A839" s="2653" t="s">
        <v>2551</v>
      </c>
      <c r="B839" s="2646"/>
      <c r="C839" s="2646"/>
      <c r="D839" s="2328">
        <v>25</v>
      </c>
      <c r="E839" s="2329" t="s">
        <v>2552</v>
      </c>
      <c r="F839" s="2330">
        <v>0.5</v>
      </c>
      <c r="G839" s="2330">
        <v>1</v>
      </c>
      <c r="H839" s="2330">
        <v>1</v>
      </c>
      <c r="I839" s="2330">
        <v>1</v>
      </c>
      <c r="J839" s="2330">
        <v>1</v>
      </c>
      <c r="K839" s="2331">
        <f>(F839*F836)+(G839*G836)+(H839*H836)+(I839*I836)+(J839*J836)</f>
        <v>62</v>
      </c>
      <c r="L839" s="2647" t="str">
        <f t="shared" ref="L839:L846" si="7">E839</f>
        <v>paupiettes</v>
      </c>
      <c r="M839" s="2647"/>
      <c r="N839" s="2332">
        <f t="shared" ref="N839:N842" si="8">IF(K839=0,0,INT(K839/D839))</f>
        <v>2</v>
      </c>
      <c r="O839" s="2333">
        <f t="shared" ref="O839:O842" si="9">K839-(N839*D839)</f>
        <v>12</v>
      </c>
      <c r="P839" s="2334" t="str">
        <f t="shared" ref="P839:P842" si="10">IF(O839=0,0,E839)</f>
        <v>paupiettes</v>
      </c>
      <c r="Q839" s="2335">
        <f t="shared" ref="Q839:Q842" si="11">IF(O839=0,0,N839+1)</f>
        <v>3</v>
      </c>
      <c r="R839" s="2333">
        <f t="shared" ref="R839:R842" si="12">IF(O839=0,0,K839-(Q839*D839))</f>
        <v>-13</v>
      </c>
      <c r="S839" s="2336" t="str">
        <f t="shared" ref="S839:S842" si="13">IF(R839=0,0,E839)</f>
        <v>paupiettes</v>
      </c>
    </row>
    <row r="840" spans="1:19" ht="20.100000000000001" customHeight="1">
      <c r="A840" s="2653" t="s">
        <v>2553</v>
      </c>
      <c r="B840" s="2646"/>
      <c r="C840" s="2646"/>
      <c r="D840" s="2328">
        <v>12</v>
      </c>
      <c r="E840" s="2329" t="s">
        <v>2554</v>
      </c>
      <c r="F840" s="2330">
        <v>1</v>
      </c>
      <c r="G840" s="2330">
        <v>1</v>
      </c>
      <c r="H840" s="2330">
        <v>1</v>
      </c>
      <c r="I840" s="2330">
        <v>1</v>
      </c>
      <c r="J840" s="2330">
        <v>1</v>
      </c>
      <c r="K840" s="2331">
        <f>(F840*F836)+(G840*G836)+(H840*H836)+(I840*I836)+(J840*J836)</f>
        <v>68</v>
      </c>
      <c r="L840" s="2647" t="str">
        <f t="shared" si="7"/>
        <v>Cuisses</v>
      </c>
      <c r="M840" s="2647"/>
      <c r="N840" s="2332">
        <f t="shared" si="8"/>
        <v>5</v>
      </c>
      <c r="O840" s="2333">
        <f t="shared" si="9"/>
        <v>8</v>
      </c>
      <c r="P840" s="2334" t="str">
        <f t="shared" si="10"/>
        <v>Cuisses</v>
      </c>
      <c r="Q840" s="2335">
        <f t="shared" si="11"/>
        <v>6</v>
      </c>
      <c r="R840" s="2333">
        <f t="shared" si="12"/>
        <v>-4</v>
      </c>
      <c r="S840" s="2336" t="str">
        <f t="shared" si="13"/>
        <v>Cuisses</v>
      </c>
    </row>
    <row r="841" spans="1:19" ht="20.100000000000001" customHeight="1">
      <c r="A841" s="2653" t="s">
        <v>2555</v>
      </c>
      <c r="B841" s="2646"/>
      <c r="C841" s="2646"/>
      <c r="D841" s="2328">
        <v>60</v>
      </c>
      <c r="E841" s="2329" t="s">
        <v>2556</v>
      </c>
      <c r="F841" s="2330">
        <v>1</v>
      </c>
      <c r="G841" s="2330">
        <v>1.5</v>
      </c>
      <c r="H841" s="2330">
        <v>2</v>
      </c>
      <c r="I841" s="2330">
        <v>3</v>
      </c>
      <c r="J841" s="2330">
        <v>2</v>
      </c>
      <c r="K841" s="2331">
        <f>(F841*F836)+(G841*G836)+(H841*H836)+(I841*I836)+(J841*J836)</f>
        <v>118.5</v>
      </c>
      <c r="L841" s="2647" t="str">
        <f t="shared" si="7"/>
        <v>tranches</v>
      </c>
      <c r="M841" s="2647"/>
      <c r="N841" s="2332">
        <f t="shared" si="8"/>
        <v>1</v>
      </c>
      <c r="O841" s="2333">
        <f t="shared" si="9"/>
        <v>58.5</v>
      </c>
      <c r="P841" s="2334" t="str">
        <f t="shared" si="10"/>
        <v>tranches</v>
      </c>
      <c r="Q841" s="2335">
        <f t="shared" si="11"/>
        <v>2</v>
      </c>
      <c r="R841" s="2333">
        <f t="shared" si="12"/>
        <v>-1.5</v>
      </c>
      <c r="S841" s="2336" t="str">
        <f t="shared" si="13"/>
        <v>tranches</v>
      </c>
    </row>
    <row r="842" spans="1:19" ht="20.100000000000001" customHeight="1" thickBot="1">
      <c r="A842" s="2653" t="s">
        <v>2557</v>
      </c>
      <c r="B842" s="2646"/>
      <c r="C842" s="2646"/>
      <c r="D842" s="2328">
        <v>20</v>
      </c>
      <c r="E842" s="2329" t="s">
        <v>2558</v>
      </c>
      <c r="F842" s="2330">
        <v>1</v>
      </c>
      <c r="G842" s="2330">
        <v>1.5</v>
      </c>
      <c r="H842" s="2330">
        <v>2</v>
      </c>
      <c r="I842" s="2330">
        <v>3</v>
      </c>
      <c r="J842" s="2330">
        <v>2</v>
      </c>
      <c r="K842" s="2337">
        <f>(F842*F836)+(G842*G836)+(H842*H836)+(I842*I836)+(J842*J836)</f>
        <v>118.5</v>
      </c>
      <c r="L842" s="2650" t="str">
        <f t="shared" si="7"/>
        <v>tomates</v>
      </c>
      <c r="M842" s="2650"/>
      <c r="N842" s="2338">
        <f t="shared" si="8"/>
        <v>5</v>
      </c>
      <c r="O842" s="2339">
        <f t="shared" si="9"/>
        <v>18.5</v>
      </c>
      <c r="P842" s="2340" t="str">
        <f t="shared" si="10"/>
        <v>tomates</v>
      </c>
      <c r="Q842" s="2341">
        <f t="shared" si="11"/>
        <v>6</v>
      </c>
      <c r="R842" s="2339">
        <f t="shared" si="12"/>
        <v>-1.5</v>
      </c>
      <c r="S842" s="2342" t="str">
        <f t="shared" si="13"/>
        <v>tomates</v>
      </c>
    </row>
    <row r="843" spans="1:19" ht="20.100000000000001" customHeight="1">
      <c r="A843" s="2325"/>
      <c r="B843" s="2326"/>
      <c r="C843" s="2326"/>
      <c r="D843" s="2326"/>
      <c r="E843" s="2326"/>
      <c r="F843" s="2326"/>
      <c r="G843" s="2326"/>
      <c r="H843" s="2326"/>
      <c r="I843" s="2326"/>
      <c r="J843" s="2326"/>
      <c r="K843" s="2326"/>
      <c r="L843" s="2326"/>
      <c r="M843" s="2326"/>
      <c r="N843" s="2326"/>
      <c r="O843" s="2326"/>
      <c r="P843" s="2326"/>
      <c r="Q843" s="2326"/>
      <c r="R843" s="2326"/>
      <c r="S843" s="2327" t="s">
        <v>2559</v>
      </c>
    </row>
    <row r="844" spans="1:19" ht="20.100000000000001" customHeight="1">
      <c r="A844" s="2645" t="s">
        <v>2560</v>
      </c>
      <c r="B844" s="2646"/>
      <c r="C844" s="2646"/>
      <c r="D844" s="2328">
        <v>3</v>
      </c>
      <c r="E844" s="2329" t="s">
        <v>45</v>
      </c>
      <c r="F844" s="2330">
        <v>7.4999999999999997E-2</v>
      </c>
      <c r="G844" s="2343">
        <v>0.09</v>
      </c>
      <c r="H844" s="2343">
        <v>0.15</v>
      </c>
      <c r="I844" s="2343">
        <v>0.18</v>
      </c>
      <c r="J844" s="2343">
        <v>0.13</v>
      </c>
      <c r="K844" s="2344">
        <f>(F844*F836)+(G844*G836)+(H844*H836)+(I844*I836)+(J844*J836)</f>
        <v>7.81</v>
      </c>
      <c r="L844" s="2647" t="str">
        <f>E844</f>
        <v>Kg</v>
      </c>
      <c r="M844" s="2647"/>
      <c r="N844" s="2332">
        <f>IF(K844=0,0,INT(K844/D844))</f>
        <v>2</v>
      </c>
      <c r="O844" s="2345">
        <f>K844-(N844*D844)</f>
        <v>1.8099999999999996</v>
      </c>
      <c r="P844" s="2334" t="str">
        <f>IF(O844=0,0,E844)</f>
        <v>Kg</v>
      </c>
      <c r="Q844" s="2335">
        <f>IF(O844=0,0,N844+1)</f>
        <v>3</v>
      </c>
      <c r="R844" s="2333">
        <f>IF(O844=0,0,K844-(Q844*D844))</f>
        <v>-1.1900000000000004</v>
      </c>
      <c r="S844" s="2346" t="str">
        <f>IF(R844=0,0,E844)</f>
        <v>Kg</v>
      </c>
    </row>
    <row r="845" spans="1:19" ht="20.100000000000001" customHeight="1">
      <c r="A845" s="2645" t="s">
        <v>2561</v>
      </c>
      <c r="B845" s="2646"/>
      <c r="C845" s="2646"/>
      <c r="D845" s="2328">
        <v>7.2</v>
      </c>
      <c r="E845" s="2347" t="s">
        <v>45</v>
      </c>
      <c r="F845" s="2343">
        <v>0.2</v>
      </c>
      <c r="G845" s="2343">
        <v>0.25</v>
      </c>
      <c r="H845" s="2343">
        <v>0.35</v>
      </c>
      <c r="I845" s="2343">
        <v>0.45</v>
      </c>
      <c r="J845" s="2343">
        <v>0.35</v>
      </c>
      <c r="K845" s="2344">
        <f>(F845*F836)+(G845*G836)+(H845*H836)+(I845*I836)+(J845*J836)</f>
        <v>20.2</v>
      </c>
      <c r="L845" s="2647" t="str">
        <f t="shared" si="7"/>
        <v>Kg</v>
      </c>
      <c r="M845" s="2647"/>
      <c r="N845" s="2332">
        <f>IF(K845=0,0,INT(K845/D845))</f>
        <v>2</v>
      </c>
      <c r="O845" s="2345">
        <f>K845-(N845*D845)</f>
        <v>5.7999999999999989</v>
      </c>
      <c r="P845" s="2334" t="str">
        <f>IF(O845=0,0,E845)</f>
        <v>Kg</v>
      </c>
      <c r="Q845" s="2335">
        <f>IF(O845=0,0,N845+1)</f>
        <v>3</v>
      </c>
      <c r="R845" s="2333">
        <f>IF(O845=0,0,K845-(Q845*D845))</f>
        <v>-1.4000000000000021</v>
      </c>
      <c r="S845" s="2346" t="str">
        <f>IF(R845=0,0,E845)</f>
        <v>Kg</v>
      </c>
    </row>
    <row r="846" spans="1:19" ht="20.100000000000001" customHeight="1" thickBot="1">
      <c r="A846" s="2648" t="s">
        <v>2562</v>
      </c>
      <c r="B846" s="2649"/>
      <c r="C846" s="2649"/>
      <c r="D846" s="2348">
        <v>4</v>
      </c>
      <c r="E846" s="2349" t="s">
        <v>45</v>
      </c>
      <c r="F846" s="2350">
        <v>0.2</v>
      </c>
      <c r="G846" s="2350">
        <v>0.25</v>
      </c>
      <c r="H846" s="2350">
        <v>0.35</v>
      </c>
      <c r="I846" s="2350">
        <v>0.45</v>
      </c>
      <c r="J846" s="2350">
        <v>0.35</v>
      </c>
      <c r="K846" s="2351">
        <f>(F846*F836)+(G846*G836)+(H846*H836)+(I846*I836)+(J846*J836)</f>
        <v>20.2</v>
      </c>
      <c r="L846" s="2650" t="str">
        <f t="shared" si="7"/>
        <v>Kg</v>
      </c>
      <c r="M846" s="2650"/>
      <c r="N846" s="2338">
        <f>IF(K846=0,0,INT(K846/D846))</f>
        <v>5</v>
      </c>
      <c r="O846" s="2352">
        <f>K846-(N846*D846)</f>
        <v>0.19999999999999929</v>
      </c>
      <c r="P846" s="2340" t="str">
        <f>IF(O846=0,0,E846)</f>
        <v>Kg</v>
      </c>
      <c r="Q846" s="2341">
        <f>IF(O846=0,0,N846+1)</f>
        <v>6</v>
      </c>
      <c r="R846" s="2339">
        <f>IF(O846=0,0,K846-(Q846*D846))</f>
        <v>-3.8000000000000007</v>
      </c>
      <c r="S846" s="2353" t="str">
        <f>IF(R846=0,0,E846)</f>
        <v>Kg</v>
      </c>
    </row>
    <row r="847" spans="1:19" ht="20.100000000000001" customHeight="1">
      <c r="A847" s="2354"/>
      <c r="B847" s="2354"/>
      <c r="C847" s="2354"/>
      <c r="D847" s="2354"/>
      <c r="E847" s="2354"/>
      <c r="F847" s="2354"/>
      <c r="G847" s="2354"/>
      <c r="H847" s="2354"/>
      <c r="I847" s="2354"/>
      <c r="J847" s="2354"/>
      <c r="K847" s="2354"/>
      <c r="L847" s="2354"/>
      <c r="M847" s="2354"/>
      <c r="N847" s="2354"/>
      <c r="O847" s="2354"/>
      <c r="P847" s="2354"/>
      <c r="Q847" s="2354"/>
      <c r="R847" s="2355"/>
      <c r="S847" s="2356"/>
    </row>
    <row r="848" spans="1:19">
      <c r="A848" s="58"/>
      <c r="B848" s="57"/>
      <c r="C848" s="57"/>
      <c r="D848" s="57"/>
      <c r="E848" s="57"/>
      <c r="F848" s="57"/>
      <c r="G848" s="57"/>
      <c r="H848" s="57"/>
      <c r="I848" s="57"/>
      <c r="J848" s="57"/>
      <c r="K848" s="57"/>
      <c r="L848" s="57"/>
      <c r="M848" s="58"/>
      <c r="N848" s="58"/>
      <c r="O848" s="58"/>
      <c r="P848" s="58"/>
      <c r="Q848" s="58"/>
    </row>
    <row r="849" spans="1:17">
      <c r="A849" s="58"/>
      <c r="B849" s="57"/>
      <c r="C849" s="58"/>
      <c r="D849" s="58"/>
      <c r="E849" s="58"/>
      <c r="F849" s="58"/>
      <c r="G849" s="58"/>
      <c r="H849" s="58"/>
      <c r="I849" s="58"/>
      <c r="J849" s="58"/>
      <c r="K849" s="58"/>
      <c r="L849" s="58"/>
      <c r="M849" s="58"/>
      <c r="N849" s="58"/>
      <c r="O849" s="58"/>
      <c r="P849" s="58"/>
      <c r="Q849" s="58"/>
    </row>
    <row r="850" spans="1:17" ht="15" customHeight="1">
      <c r="A850" s="2651" t="s">
        <v>1798</v>
      </c>
      <c r="B850" s="2652"/>
      <c r="C850" s="2652"/>
      <c r="D850" s="2652"/>
      <c r="E850" s="2652"/>
      <c r="F850" s="2652"/>
      <c r="G850" s="2652"/>
      <c r="H850" s="2652"/>
      <c r="I850" s="2652"/>
      <c r="J850" s="2652"/>
      <c r="K850" s="2652"/>
      <c r="L850" s="2652"/>
      <c r="M850" s="2652"/>
      <c r="N850" s="2652"/>
      <c r="O850" s="2652"/>
      <c r="P850" s="2652"/>
      <c r="Q850" s="2652"/>
    </row>
    <row r="851" spans="1:17" ht="15.75" customHeight="1">
      <c r="A851" s="2651"/>
      <c r="B851" s="2652"/>
      <c r="C851" s="2652"/>
      <c r="D851" s="2652"/>
      <c r="E851" s="2652"/>
      <c r="F851" s="2652"/>
      <c r="G851" s="2652"/>
      <c r="H851" s="2652"/>
      <c r="I851" s="2652"/>
      <c r="J851" s="2652"/>
      <c r="K851" s="2652"/>
      <c r="L851" s="2652"/>
      <c r="M851" s="2652"/>
      <c r="N851" s="2652"/>
      <c r="O851" s="2652"/>
      <c r="P851" s="2652"/>
      <c r="Q851" s="2652"/>
    </row>
    <row r="852" spans="1:17" ht="20.100000000000001" customHeight="1">
      <c r="A852" s="58"/>
      <c r="B852" s="58"/>
      <c r="C852" s="58"/>
      <c r="D852" s="58"/>
      <c r="E852" s="58"/>
      <c r="F852" s="58"/>
      <c r="G852" s="58"/>
      <c r="H852" s="58"/>
      <c r="I852" s="58"/>
      <c r="J852" s="58"/>
      <c r="K852" s="58"/>
      <c r="L852" s="58"/>
      <c r="M852" s="58"/>
      <c r="N852" s="58"/>
      <c r="O852" s="58"/>
      <c r="P852" s="58"/>
      <c r="Q852" s="58"/>
    </row>
    <row r="853" spans="1:17" ht="20.100000000000001" customHeight="1">
      <c r="A853" s="58"/>
      <c r="B853" s="58"/>
      <c r="C853" s="58"/>
      <c r="D853" s="58"/>
      <c r="E853" s="308" t="s">
        <v>342</v>
      </c>
      <c r="F853" s="308"/>
      <c r="G853" s="308"/>
      <c r="H853" s="58"/>
      <c r="I853" s="58"/>
      <c r="J853" s="58"/>
      <c r="K853" s="58"/>
      <c r="L853" s="58"/>
      <c r="M853" s="58"/>
      <c r="N853" s="58"/>
      <c r="O853" s="58"/>
      <c r="P853" s="58"/>
      <c r="Q853" s="58"/>
    </row>
    <row r="854" spans="1:17" ht="20.100000000000001" customHeight="1">
      <c r="A854" s="58"/>
      <c r="B854" s="58"/>
      <c r="C854" s="58"/>
      <c r="D854" s="58"/>
      <c r="E854" s="308"/>
      <c r="F854" s="308" t="s">
        <v>343</v>
      </c>
      <c r="G854" s="308"/>
      <c r="H854" s="58"/>
      <c r="I854" s="58"/>
      <c r="J854" s="58"/>
      <c r="K854" s="58"/>
      <c r="L854" s="58"/>
      <c r="M854" s="58"/>
      <c r="N854" s="58"/>
      <c r="O854" s="58"/>
      <c r="P854" s="58"/>
      <c r="Q854" s="58"/>
    </row>
    <row r="855" spans="1:17" ht="20.100000000000001" customHeight="1">
      <c r="A855" s="58"/>
      <c r="B855" s="58"/>
      <c r="C855" s="58"/>
      <c r="D855" s="58"/>
      <c r="E855" s="308"/>
      <c r="F855" s="308" t="s">
        <v>344</v>
      </c>
      <c r="G855" s="308"/>
      <c r="H855" s="58"/>
      <c r="I855" s="58"/>
      <c r="J855" s="58"/>
      <c r="K855" s="58"/>
      <c r="L855" s="58"/>
      <c r="M855" s="58"/>
      <c r="N855" s="58"/>
      <c r="O855" s="58"/>
      <c r="P855" s="58"/>
      <c r="Q855" s="58"/>
    </row>
    <row r="856" spans="1:17" ht="20.100000000000001" customHeight="1">
      <c r="A856" s="58"/>
      <c r="B856" s="58"/>
      <c r="C856" s="58"/>
      <c r="D856" s="58"/>
      <c r="E856" s="308"/>
      <c r="F856" s="308" t="s">
        <v>345</v>
      </c>
      <c r="G856" s="308"/>
      <c r="H856" s="58"/>
      <c r="I856" s="58"/>
      <c r="J856" s="58"/>
      <c r="K856" s="58"/>
      <c r="L856" s="58"/>
      <c r="M856" s="58"/>
      <c r="N856" s="58"/>
      <c r="O856" s="58"/>
      <c r="P856" s="58"/>
      <c r="Q856" s="58"/>
    </row>
    <row r="857" spans="1:17" ht="20.100000000000001" customHeight="1">
      <c r="A857" s="58"/>
      <c r="B857" s="58"/>
      <c r="C857" s="58"/>
      <c r="D857" s="58"/>
      <c r="E857" s="58"/>
      <c r="F857" s="308" t="s">
        <v>346</v>
      </c>
      <c r="G857" s="58"/>
      <c r="H857" s="58"/>
      <c r="I857" s="58"/>
      <c r="J857" s="58"/>
      <c r="K857" s="58"/>
      <c r="L857" s="58"/>
      <c r="M857" s="58"/>
      <c r="N857" s="58"/>
      <c r="O857" s="58"/>
      <c r="P857" s="58"/>
      <c r="Q857" s="58"/>
    </row>
    <row r="858" spans="1:17" ht="20.100000000000001" customHeight="1">
      <c r="A858" s="58"/>
      <c r="B858" s="58"/>
      <c r="C858" s="58"/>
      <c r="D858" s="58"/>
      <c r="E858" s="308" t="s">
        <v>347</v>
      </c>
      <c r="F858" s="58"/>
      <c r="G858" s="58"/>
      <c r="H858" s="58"/>
      <c r="I858" s="58"/>
      <c r="J858" s="58"/>
      <c r="K858" s="58"/>
      <c r="L858" s="58"/>
      <c r="M858" s="58"/>
      <c r="N858" s="58"/>
      <c r="O858" s="58"/>
      <c r="P858" s="58"/>
      <c r="Q858" s="58"/>
    </row>
    <row r="859" spans="1:17" ht="20.100000000000001" customHeight="1">
      <c r="A859" s="58"/>
      <c r="B859" s="58"/>
      <c r="C859" s="58"/>
      <c r="D859" s="58"/>
      <c r="E859" s="58"/>
      <c r="F859" s="58"/>
      <c r="G859" s="58"/>
      <c r="H859" s="58"/>
      <c r="I859" s="58"/>
      <c r="J859" s="58"/>
      <c r="K859" s="58"/>
      <c r="L859" s="58"/>
      <c r="M859" s="58"/>
      <c r="N859" s="58"/>
      <c r="O859" s="58"/>
      <c r="P859" s="58"/>
      <c r="Q859" s="58"/>
    </row>
    <row r="860" spans="1:17" ht="20.100000000000001" customHeight="1">
      <c r="A860" s="58"/>
      <c r="B860" s="58"/>
      <c r="C860" s="58"/>
      <c r="D860" s="58"/>
      <c r="E860" s="58"/>
      <c r="F860" s="58"/>
      <c r="G860" s="58"/>
      <c r="H860" s="58"/>
      <c r="I860" s="58"/>
      <c r="J860" s="58"/>
      <c r="K860" s="58"/>
      <c r="L860" s="58"/>
      <c r="M860" s="58"/>
      <c r="N860" s="58"/>
      <c r="O860" s="58"/>
      <c r="P860" s="58"/>
      <c r="Q860" s="58"/>
    </row>
    <row r="861" spans="1:17" ht="20.100000000000001" customHeight="1">
      <c r="A861" s="58"/>
      <c r="B861" s="58"/>
      <c r="C861" s="58"/>
      <c r="D861" s="58"/>
      <c r="E861" s="58"/>
      <c r="F861" s="58"/>
      <c r="G861" s="58"/>
      <c r="H861" s="58"/>
      <c r="I861" s="58"/>
      <c r="J861" s="58"/>
      <c r="K861" s="58"/>
      <c r="L861" s="58"/>
      <c r="M861" s="58"/>
      <c r="N861" s="58"/>
      <c r="O861" s="58"/>
      <c r="P861" s="58"/>
      <c r="Q861" s="58"/>
    </row>
    <row r="862" spans="1:17" ht="20.100000000000001" customHeight="1">
      <c r="A862" s="58"/>
      <c r="B862" s="58"/>
      <c r="C862" s="58"/>
      <c r="D862" s="58"/>
      <c r="E862" s="58"/>
      <c r="F862" s="58"/>
      <c r="G862" s="58"/>
      <c r="H862" s="58"/>
      <c r="I862" s="58"/>
      <c r="J862" s="58"/>
      <c r="K862" s="58"/>
      <c r="L862" s="58"/>
      <c r="M862" s="58"/>
      <c r="N862" s="58"/>
      <c r="O862" s="58"/>
      <c r="P862" s="58"/>
      <c r="Q862" s="58"/>
    </row>
    <row r="863" spans="1:17" ht="20.100000000000001" customHeight="1">
      <c r="A863" s="58"/>
      <c r="B863" s="58"/>
      <c r="C863" s="309" t="s">
        <v>348</v>
      </c>
      <c r="D863" s="309"/>
      <c r="E863" s="309"/>
      <c r="F863" s="309"/>
      <c r="G863" s="309"/>
      <c r="H863" s="309"/>
      <c r="I863" s="309" t="s">
        <v>349</v>
      </c>
      <c r="J863" s="58"/>
      <c r="K863" s="58"/>
      <c r="L863" s="58"/>
      <c r="M863" s="58"/>
      <c r="N863" s="58"/>
      <c r="O863" s="58"/>
      <c r="P863" s="58"/>
      <c r="Q863" s="58"/>
    </row>
    <row r="864" spans="1:17" ht="20.100000000000001" customHeight="1">
      <c r="A864" s="58"/>
      <c r="B864" s="58"/>
      <c r="C864" s="58"/>
      <c r="D864" s="58"/>
      <c r="E864" s="58"/>
      <c r="F864" s="58"/>
      <c r="G864" s="58"/>
      <c r="H864" s="58"/>
      <c r="I864" s="58"/>
      <c r="J864" s="58"/>
      <c r="K864" s="58"/>
      <c r="L864" s="58"/>
      <c r="M864" s="58"/>
      <c r="N864" s="58"/>
      <c r="O864" s="58"/>
      <c r="P864" s="58"/>
      <c r="Q864" s="58"/>
    </row>
    <row r="865" spans="1:17" ht="20.100000000000001" customHeight="1">
      <c r="A865" s="58"/>
      <c r="B865" s="58"/>
      <c r="C865" s="58"/>
      <c r="D865" s="309" t="s">
        <v>350</v>
      </c>
      <c r="E865" s="58"/>
      <c r="F865" s="58"/>
      <c r="G865" s="58"/>
      <c r="H865" s="58"/>
      <c r="I865" s="309"/>
      <c r="J865" s="58"/>
      <c r="K865" s="58"/>
      <c r="L865" s="58"/>
      <c r="M865" s="58"/>
      <c r="N865" s="58"/>
      <c r="O865" s="58"/>
      <c r="P865" s="58"/>
      <c r="Q865" s="58"/>
    </row>
    <row r="866" spans="1:17" ht="20.100000000000001" customHeight="1">
      <c r="A866" s="58"/>
      <c r="B866" s="58"/>
      <c r="C866" s="58"/>
      <c r="D866" s="309" t="s">
        <v>351</v>
      </c>
      <c r="E866" s="58"/>
      <c r="F866" s="58"/>
      <c r="G866" s="58"/>
      <c r="H866" s="310" t="s">
        <v>352</v>
      </c>
      <c r="I866" s="309"/>
      <c r="J866" s="58"/>
      <c r="K866" s="58"/>
      <c r="L866" s="58"/>
      <c r="M866" s="58"/>
      <c r="N866" s="58"/>
      <c r="O866" s="58"/>
      <c r="P866" s="58"/>
      <c r="Q866" s="58"/>
    </row>
    <row r="867" spans="1:17" ht="20.100000000000001" customHeight="1">
      <c r="A867" s="58"/>
      <c r="B867" s="58"/>
      <c r="C867" s="58"/>
      <c r="D867" s="309" t="s">
        <v>353</v>
      </c>
      <c r="E867" s="58"/>
      <c r="F867" s="58"/>
      <c r="G867" s="58"/>
      <c r="H867" s="311"/>
      <c r="I867" s="311" t="s">
        <v>354</v>
      </c>
      <c r="J867" s="58"/>
      <c r="K867" s="58"/>
      <c r="L867" s="58"/>
      <c r="M867" s="58"/>
      <c r="N867" s="58"/>
      <c r="O867" s="58"/>
      <c r="P867" s="58"/>
      <c r="Q867" s="58"/>
    </row>
    <row r="868" spans="1:17" ht="20.100000000000001" customHeight="1">
      <c r="A868" s="58"/>
      <c r="B868" s="58"/>
      <c r="C868" s="58"/>
      <c r="D868" s="309" t="s">
        <v>352</v>
      </c>
      <c r="E868" s="58"/>
      <c r="F868" s="58"/>
      <c r="G868" s="58"/>
      <c r="H868" s="311"/>
      <c r="I868" s="311" t="s">
        <v>355</v>
      </c>
      <c r="J868" s="58"/>
      <c r="K868" s="58"/>
      <c r="L868" s="58"/>
      <c r="M868" s="58"/>
      <c r="N868" s="58"/>
      <c r="O868" s="58"/>
      <c r="P868" s="58"/>
      <c r="Q868" s="58"/>
    </row>
    <row r="869" spans="1:17" ht="20.100000000000001" customHeight="1">
      <c r="A869" s="58"/>
      <c r="B869" s="58"/>
      <c r="C869" s="58"/>
      <c r="D869" s="309" t="s">
        <v>356</v>
      </c>
      <c r="E869" s="58"/>
      <c r="F869" s="58"/>
      <c r="G869" s="58"/>
      <c r="H869" s="310" t="s">
        <v>357</v>
      </c>
      <c r="I869" s="58"/>
      <c r="J869" s="58"/>
      <c r="K869" s="58"/>
      <c r="L869" s="58"/>
      <c r="M869" s="58"/>
      <c r="N869" s="58"/>
      <c r="O869" s="58"/>
      <c r="P869" s="58"/>
      <c r="Q869" s="58"/>
    </row>
    <row r="870" spans="1:17" ht="20.100000000000001" customHeight="1">
      <c r="A870" s="58"/>
      <c r="B870" s="58"/>
      <c r="C870" s="58"/>
      <c r="D870" s="309" t="s">
        <v>358</v>
      </c>
      <c r="E870" s="58"/>
      <c r="F870" s="58"/>
      <c r="G870" s="58"/>
      <c r="H870" s="311"/>
      <c r="I870" s="311" t="s">
        <v>359</v>
      </c>
      <c r="J870" s="58"/>
      <c r="K870" s="58"/>
      <c r="L870" s="309"/>
      <c r="M870" s="58"/>
      <c r="N870" s="58"/>
      <c r="O870" s="58"/>
      <c r="P870" s="58"/>
      <c r="Q870" s="58"/>
    </row>
    <row r="871" spans="1:17" ht="20.100000000000001" customHeight="1">
      <c r="A871" s="58"/>
      <c r="B871" s="58"/>
      <c r="C871" s="58"/>
      <c r="D871" s="58"/>
      <c r="E871" s="58"/>
      <c r="F871" s="58"/>
      <c r="G871" s="58"/>
      <c r="H871" s="310" t="s">
        <v>360</v>
      </c>
      <c r="I871" s="309"/>
      <c r="J871" s="309"/>
      <c r="K871" s="58"/>
      <c r="L871" s="309"/>
      <c r="M871" s="58"/>
      <c r="N871" s="58"/>
      <c r="O871" s="58"/>
      <c r="P871" s="58"/>
      <c r="Q871" s="58"/>
    </row>
    <row r="872" spans="1:17" ht="20.100000000000001" customHeight="1">
      <c r="A872" s="58"/>
      <c r="B872" s="58"/>
      <c r="C872" s="58"/>
      <c r="D872" s="309" t="s">
        <v>361</v>
      </c>
      <c r="E872" s="58"/>
      <c r="F872" s="58"/>
      <c r="G872" s="58"/>
      <c r="H872" s="311"/>
      <c r="I872" s="311" t="s">
        <v>362</v>
      </c>
      <c r="J872" s="311"/>
      <c r="K872" s="58"/>
      <c r="L872" s="309"/>
      <c r="M872" s="58"/>
      <c r="N872" s="58"/>
      <c r="O872" s="58"/>
      <c r="P872" s="58"/>
      <c r="Q872" s="58"/>
    </row>
    <row r="873" spans="1:17" ht="20.100000000000001" customHeight="1">
      <c r="A873" s="58"/>
      <c r="B873" s="58"/>
      <c r="C873" s="58"/>
      <c r="D873" s="309" t="s">
        <v>351</v>
      </c>
      <c r="E873" s="58"/>
      <c r="F873" s="58"/>
      <c r="G873" s="58"/>
      <c r="H873" s="310" t="s">
        <v>363</v>
      </c>
      <c r="I873" s="309"/>
      <c r="J873" s="58"/>
      <c r="K873" s="58"/>
      <c r="L873" s="309"/>
      <c r="M873" s="58"/>
      <c r="N873" s="58"/>
      <c r="O873" s="58"/>
      <c r="P873" s="58"/>
      <c r="Q873" s="58"/>
    </row>
    <row r="874" spans="1:17" ht="20.100000000000001" customHeight="1">
      <c r="A874" s="58"/>
      <c r="B874" s="58"/>
      <c r="C874" s="58"/>
      <c r="D874" s="309" t="s">
        <v>353</v>
      </c>
      <c r="E874" s="58"/>
      <c r="F874" s="58"/>
      <c r="G874" s="58"/>
      <c r="H874" s="311"/>
      <c r="I874" s="311" t="s">
        <v>364</v>
      </c>
      <c r="J874" s="58"/>
      <c r="K874" s="58"/>
      <c r="L874" s="309"/>
      <c r="M874" s="58"/>
      <c r="N874" s="58"/>
      <c r="O874" s="58"/>
      <c r="P874" s="58"/>
      <c r="Q874" s="58"/>
    </row>
    <row r="875" spans="1:17" ht="20.100000000000001" customHeight="1">
      <c r="A875" s="58"/>
      <c r="B875" s="58"/>
      <c r="C875" s="58"/>
      <c r="D875" s="309" t="s">
        <v>352</v>
      </c>
      <c r="E875" s="58"/>
      <c r="F875" s="58"/>
      <c r="G875" s="58"/>
      <c r="H875" s="310" t="s">
        <v>365</v>
      </c>
      <c r="I875" s="309"/>
      <c r="J875" s="58"/>
      <c r="K875" s="58"/>
      <c r="L875" s="309"/>
      <c r="M875" s="58"/>
      <c r="N875" s="58"/>
      <c r="O875" s="58"/>
      <c r="P875" s="58"/>
      <c r="Q875" s="58"/>
    </row>
    <row r="876" spans="1:17" ht="20.100000000000001" customHeight="1">
      <c r="A876" s="58"/>
      <c r="B876" s="58"/>
      <c r="C876" s="58"/>
      <c r="D876" s="309" t="s">
        <v>356</v>
      </c>
      <c r="E876" s="58"/>
      <c r="F876" s="58"/>
      <c r="G876" s="58"/>
      <c r="H876" s="311"/>
      <c r="I876" s="311" t="s">
        <v>366</v>
      </c>
      <c r="J876" s="58"/>
      <c r="K876" s="58"/>
      <c r="L876" s="309"/>
      <c r="M876" s="58"/>
      <c r="N876" s="58"/>
      <c r="O876" s="58"/>
      <c r="P876" s="58"/>
      <c r="Q876" s="58"/>
    </row>
    <row r="877" spans="1:17" ht="20.100000000000001" customHeight="1">
      <c r="A877" s="58"/>
      <c r="B877" s="58"/>
      <c r="C877" s="58"/>
      <c r="D877" s="309" t="s">
        <v>358</v>
      </c>
      <c r="E877" s="58"/>
      <c r="F877" s="58"/>
      <c r="G877" s="58"/>
      <c r="H877" s="310" t="s">
        <v>367</v>
      </c>
      <c r="I877" s="309"/>
      <c r="J877" s="58"/>
      <c r="K877" s="58"/>
      <c r="L877" s="58"/>
      <c r="M877" s="58"/>
      <c r="N877" s="58"/>
      <c r="O877" s="58"/>
      <c r="P877" s="58"/>
      <c r="Q877" s="58"/>
    </row>
    <row r="878" spans="1:17" ht="20.100000000000001" customHeight="1">
      <c r="A878" s="58"/>
      <c r="B878" s="58"/>
      <c r="C878" s="58"/>
      <c r="D878" s="309"/>
      <c r="E878" s="58"/>
      <c r="F878" s="58"/>
      <c r="G878" s="58"/>
      <c r="H878" s="311"/>
      <c r="I878" s="311" t="s">
        <v>368</v>
      </c>
      <c r="J878" s="58"/>
      <c r="K878" s="58"/>
      <c r="L878" s="309"/>
      <c r="M878" s="58"/>
      <c r="N878" s="58"/>
      <c r="O878" s="58"/>
      <c r="P878" s="58"/>
      <c r="Q878" s="58"/>
    </row>
    <row r="879" spans="1:17" ht="20.100000000000001" customHeight="1">
      <c r="A879" s="58"/>
      <c r="B879" s="58"/>
      <c r="C879" s="58"/>
      <c r="D879" s="309" t="s">
        <v>369</v>
      </c>
      <c r="E879" s="58"/>
      <c r="F879" s="58"/>
      <c r="G879" s="58"/>
      <c r="H879" s="311"/>
      <c r="I879" s="311" t="s">
        <v>370</v>
      </c>
      <c r="J879" s="58"/>
      <c r="K879" s="58"/>
      <c r="L879" s="58"/>
      <c r="M879" s="58"/>
      <c r="N879" s="58"/>
      <c r="O879" s="58"/>
      <c r="P879" s="58"/>
      <c r="Q879" s="58"/>
    </row>
    <row r="880" spans="1:17" ht="20.100000000000001" customHeight="1">
      <c r="A880" s="58"/>
      <c r="B880" s="58"/>
      <c r="C880" s="58"/>
      <c r="D880" s="309" t="s">
        <v>351</v>
      </c>
      <c r="E880" s="58"/>
      <c r="F880" s="58"/>
      <c r="G880" s="58"/>
      <c r="H880" s="311"/>
      <c r="I880" s="311" t="s">
        <v>371</v>
      </c>
      <c r="J880" s="58"/>
      <c r="K880" s="58"/>
      <c r="L880" s="58"/>
      <c r="M880" s="58"/>
      <c r="N880" s="58"/>
      <c r="O880" s="58"/>
      <c r="P880" s="58"/>
      <c r="Q880" s="58"/>
    </row>
    <row r="881" spans="1:17" ht="20.100000000000001" customHeight="1">
      <c r="A881" s="58"/>
      <c r="B881" s="58"/>
      <c r="C881" s="58"/>
      <c r="D881" s="309" t="s">
        <v>353</v>
      </c>
      <c r="E881" s="58"/>
      <c r="F881" s="58"/>
      <c r="G881" s="58"/>
      <c r="H881" s="311"/>
      <c r="I881" s="311" t="s">
        <v>372</v>
      </c>
      <c r="J881" s="58"/>
      <c r="K881" s="58"/>
      <c r="L881" s="58"/>
      <c r="M881" s="58"/>
      <c r="N881" s="58"/>
      <c r="O881" s="58"/>
      <c r="P881" s="58"/>
      <c r="Q881" s="58"/>
    </row>
    <row r="882" spans="1:17" ht="20.100000000000001" customHeight="1">
      <c r="A882" s="58"/>
      <c r="B882" s="58"/>
      <c r="C882" s="58"/>
      <c r="D882" s="309" t="s">
        <v>352</v>
      </c>
      <c r="E882" s="58"/>
      <c r="F882" s="58"/>
      <c r="G882" s="58"/>
      <c r="H882" s="58"/>
      <c r="I882" s="58"/>
      <c r="J882" s="58"/>
      <c r="K882" s="58"/>
      <c r="L882" s="58"/>
      <c r="M882" s="58"/>
      <c r="N882" s="58"/>
      <c r="O882" s="58"/>
      <c r="P882" s="58"/>
      <c r="Q882" s="58"/>
    </row>
    <row r="883" spans="1:17" ht="20.100000000000001" customHeight="1">
      <c r="A883" s="58"/>
      <c r="B883" s="58"/>
      <c r="C883" s="58"/>
      <c r="D883" s="312" t="s">
        <v>373</v>
      </c>
      <c r="E883" s="312"/>
      <c r="F883" s="58"/>
      <c r="G883" s="58"/>
      <c r="H883" s="58"/>
      <c r="I883" s="58"/>
      <c r="J883" s="58"/>
      <c r="K883" s="58"/>
      <c r="L883" s="58"/>
      <c r="M883" s="58"/>
      <c r="N883" s="58"/>
      <c r="O883" s="58"/>
      <c r="P883" s="58"/>
      <c r="Q883" s="58"/>
    </row>
    <row r="884" spans="1:17" ht="20.100000000000001" customHeight="1">
      <c r="A884" s="58"/>
      <c r="B884" s="58"/>
      <c r="C884" s="58"/>
      <c r="D884" s="309" t="s">
        <v>356</v>
      </c>
      <c r="E884" s="58"/>
      <c r="F884" s="58"/>
      <c r="G884" s="58"/>
      <c r="H884" s="58"/>
      <c r="I884" s="58"/>
      <c r="J884" s="58"/>
      <c r="K884" s="58"/>
      <c r="L884" s="58"/>
      <c r="M884" s="58"/>
      <c r="N884" s="58"/>
      <c r="O884" s="58"/>
      <c r="P884" s="58"/>
      <c r="Q884" s="58"/>
    </row>
    <row r="885" spans="1:17" ht="20.100000000000001" customHeight="1">
      <c r="A885" s="58"/>
      <c r="B885" s="58"/>
      <c r="C885" s="58"/>
      <c r="D885" s="309" t="s">
        <v>358</v>
      </c>
      <c r="E885" s="58"/>
      <c r="F885" s="58"/>
      <c r="G885" s="58"/>
      <c r="H885" s="58"/>
      <c r="I885" s="58"/>
      <c r="J885" s="58"/>
      <c r="K885" s="58"/>
      <c r="L885" s="58"/>
      <c r="M885" s="58"/>
      <c r="N885" s="58"/>
      <c r="O885" s="58"/>
      <c r="P885" s="58"/>
      <c r="Q885" s="58"/>
    </row>
    <row r="886" spans="1:17" ht="20.100000000000001" customHeight="1">
      <c r="A886" s="58"/>
      <c r="B886" s="58"/>
      <c r="C886" s="58"/>
      <c r="D886" s="309"/>
      <c r="E886" s="58"/>
      <c r="F886" s="58"/>
      <c r="G886" s="58"/>
      <c r="H886" s="58"/>
      <c r="I886" s="58"/>
      <c r="J886" s="58"/>
      <c r="K886" s="58"/>
      <c r="L886" s="58"/>
      <c r="M886" s="58"/>
      <c r="N886" s="58"/>
      <c r="O886" s="58"/>
      <c r="P886" s="58"/>
      <c r="Q886" s="58"/>
    </row>
    <row r="887" spans="1:17" ht="20.100000000000001" customHeight="1">
      <c r="A887" s="58"/>
      <c r="B887" s="58"/>
      <c r="C887" s="58"/>
      <c r="D887" s="309" t="s">
        <v>374</v>
      </c>
      <c r="E887" s="58"/>
      <c r="F887" s="58"/>
      <c r="G887" s="58"/>
      <c r="H887" s="58"/>
      <c r="I887" s="58"/>
      <c r="J887" s="58"/>
      <c r="K887" s="58"/>
      <c r="L887" s="58"/>
      <c r="M887" s="58"/>
      <c r="N887" s="58"/>
      <c r="O887" s="58"/>
      <c r="P887" s="58"/>
      <c r="Q887" s="58"/>
    </row>
    <row r="888" spans="1:17" ht="20.100000000000001" customHeight="1">
      <c r="A888" s="58"/>
      <c r="B888" s="58"/>
      <c r="C888" s="58"/>
      <c r="D888" s="309" t="s">
        <v>351</v>
      </c>
      <c r="E888" s="58"/>
      <c r="F888" s="58"/>
      <c r="G888" s="58"/>
      <c r="H888" s="58"/>
      <c r="I888" s="58"/>
      <c r="J888" s="58"/>
      <c r="K888" s="58"/>
      <c r="L888" s="58"/>
      <c r="M888" s="58"/>
      <c r="N888" s="58"/>
      <c r="O888" s="58"/>
      <c r="P888" s="58"/>
      <c r="Q888" s="58"/>
    </row>
    <row r="889" spans="1:17" ht="20.100000000000001" customHeight="1">
      <c r="A889" s="58"/>
      <c r="B889" s="58"/>
      <c r="C889" s="58"/>
      <c r="D889" s="309" t="s">
        <v>353</v>
      </c>
      <c r="E889" s="58"/>
      <c r="F889" s="58"/>
      <c r="G889" s="58"/>
      <c r="H889" s="58"/>
      <c r="I889" s="58"/>
      <c r="J889" s="58"/>
      <c r="K889" s="58"/>
      <c r="L889" s="58"/>
      <c r="M889" s="58"/>
      <c r="N889" s="58"/>
      <c r="O889" s="58"/>
      <c r="P889" s="58"/>
      <c r="Q889" s="58"/>
    </row>
    <row r="890" spans="1:17" ht="20.100000000000001" customHeight="1">
      <c r="A890" s="58"/>
      <c r="B890" s="58"/>
      <c r="C890" s="58"/>
      <c r="D890" s="309" t="s">
        <v>352</v>
      </c>
      <c r="E890" s="58"/>
      <c r="F890" s="58"/>
      <c r="G890" s="58"/>
      <c r="H890" s="58"/>
      <c r="I890" s="58"/>
      <c r="J890" s="58"/>
      <c r="K890" s="58"/>
      <c r="L890" s="58"/>
      <c r="M890" s="58"/>
      <c r="N890" s="58"/>
      <c r="O890" s="58"/>
      <c r="P890" s="58"/>
      <c r="Q890" s="58"/>
    </row>
    <row r="891" spans="1:17" ht="20.100000000000001" customHeight="1">
      <c r="A891" s="58"/>
      <c r="B891" s="58"/>
      <c r="C891" s="58"/>
      <c r="D891" s="309" t="s">
        <v>356</v>
      </c>
      <c r="E891" s="58"/>
      <c r="F891" s="58"/>
      <c r="G891" s="58"/>
      <c r="H891" s="58"/>
      <c r="I891" s="58"/>
      <c r="J891" s="58"/>
      <c r="K891" s="58"/>
      <c r="L891" s="58"/>
      <c r="M891" s="58"/>
      <c r="N891" s="58"/>
      <c r="O891" s="58"/>
      <c r="P891" s="58"/>
      <c r="Q891" s="58"/>
    </row>
    <row r="892" spans="1:17" ht="20.100000000000001" customHeight="1">
      <c r="A892" s="58"/>
      <c r="B892" s="58"/>
      <c r="C892" s="58"/>
      <c r="D892" s="309" t="s">
        <v>358</v>
      </c>
      <c r="E892" s="58"/>
      <c r="F892" s="58"/>
      <c r="G892" s="58"/>
      <c r="H892" s="58"/>
      <c r="I892" s="58"/>
      <c r="J892" s="58"/>
      <c r="K892" s="58"/>
      <c r="L892" s="58"/>
      <c r="M892" s="58"/>
      <c r="N892" s="58"/>
      <c r="O892" s="58"/>
      <c r="P892" s="58"/>
      <c r="Q892" s="58"/>
    </row>
    <row r="893" spans="1:17" ht="20.100000000000001" customHeight="1">
      <c r="A893" s="58"/>
      <c r="B893" s="58"/>
      <c r="C893" s="58"/>
      <c r="D893" s="309"/>
      <c r="E893" s="58"/>
      <c r="F893" s="58"/>
      <c r="G893" s="58"/>
      <c r="H893" s="58"/>
      <c r="I893" s="58"/>
      <c r="J893" s="58"/>
      <c r="K893" s="58"/>
      <c r="L893" s="58"/>
      <c r="M893" s="58"/>
      <c r="N893" s="58"/>
      <c r="O893" s="58"/>
      <c r="P893" s="58"/>
      <c r="Q893" s="58"/>
    </row>
    <row r="894" spans="1:17" s="75" customFormat="1">
      <c r="A894" s="327"/>
      <c r="B894" s="328"/>
      <c r="C894" s="328"/>
      <c r="D894" s="328"/>
      <c r="E894" s="328"/>
      <c r="F894" s="328"/>
      <c r="G894" s="328"/>
      <c r="H894" s="328"/>
      <c r="I894" s="328"/>
      <c r="J894" s="328"/>
      <c r="K894" s="328"/>
      <c r="L894" s="328"/>
      <c r="M894" s="328"/>
      <c r="N894" s="328"/>
      <c r="O894" s="328"/>
      <c r="P894" s="328"/>
      <c r="Q894" s="328"/>
    </row>
    <row r="895" spans="1:17" s="75" customFormat="1" ht="18">
      <c r="A895" s="58"/>
      <c r="B895" s="57"/>
      <c r="C895" s="1726" t="s">
        <v>1439</v>
      </c>
      <c r="D895" s="57"/>
      <c r="E895" s="57"/>
      <c r="F895" s="57"/>
      <c r="G895" s="57"/>
      <c r="H895" s="57"/>
      <c r="I895" s="57"/>
      <c r="J895" s="57"/>
      <c r="K895" s="57"/>
      <c r="L895" s="57"/>
      <c r="M895" s="57"/>
      <c r="N895" s="57"/>
      <c r="O895" s="57"/>
      <c r="P895" s="57"/>
      <c r="Q895" s="57"/>
    </row>
    <row r="896" spans="1:17" s="75" customFormat="1">
      <c r="A896" s="58"/>
      <c r="B896" s="57"/>
      <c r="C896" s="57"/>
      <c r="D896" s="57"/>
      <c r="E896" s="57"/>
      <c r="F896" s="57"/>
      <c r="G896" s="57"/>
      <c r="H896" s="57"/>
      <c r="I896" s="57"/>
      <c r="J896" s="57"/>
      <c r="K896" s="57"/>
      <c r="L896" s="57"/>
      <c r="M896" s="58"/>
      <c r="N896" s="58"/>
      <c r="O896" s="58"/>
      <c r="P896" s="58"/>
      <c r="Q896" s="58"/>
    </row>
    <row r="897" spans="1:17" ht="18">
      <c r="A897" s="54"/>
      <c r="B897" s="54"/>
      <c r="C897" s="1726" t="s">
        <v>1440</v>
      </c>
      <c r="D897" s="54"/>
      <c r="E897" s="54"/>
      <c r="F897" s="54"/>
      <c r="G897" s="54"/>
      <c r="H897" s="54"/>
      <c r="I897" s="54"/>
      <c r="J897" s="54"/>
      <c r="K897" s="54"/>
      <c r="L897" s="54"/>
      <c r="M897" s="54"/>
      <c r="N897" s="54"/>
      <c r="O897" s="54"/>
      <c r="P897" s="54"/>
      <c r="Q897" s="54"/>
    </row>
    <row r="898" spans="1:17">
      <c r="A898" s="54"/>
      <c r="B898" s="54"/>
      <c r="C898" s="54"/>
      <c r="D898" s="54"/>
      <c r="E898" s="54"/>
      <c r="F898" s="54"/>
      <c r="G898" s="54"/>
      <c r="H898" s="54"/>
      <c r="I898" s="54"/>
      <c r="J898" s="54"/>
      <c r="K898" s="54"/>
      <c r="L898" s="54"/>
      <c r="M898" s="54"/>
      <c r="N898" s="54"/>
      <c r="O898" s="54"/>
      <c r="P898" s="54"/>
      <c r="Q898" s="54"/>
    </row>
    <row r="899" spans="1:17">
      <c r="A899" s="1647"/>
      <c r="B899" s="1648"/>
      <c r="C899" s="1649"/>
      <c r="D899" s="1649"/>
      <c r="E899" s="1649"/>
      <c r="F899" s="1649"/>
      <c r="G899" s="1649"/>
      <c r="H899" s="1649"/>
      <c r="I899" s="1649"/>
      <c r="J899" s="1648"/>
      <c r="K899" s="1648"/>
      <c r="L899" s="1648"/>
      <c r="M899" s="1647"/>
      <c r="N899" s="1647"/>
      <c r="O899" s="1647"/>
      <c r="P899" s="1647"/>
      <c r="Q899" s="1647"/>
    </row>
    <row r="901" spans="1:17" ht="20.100000000000001" customHeight="1">
      <c r="A901" s="58"/>
      <c r="B901" s="58"/>
      <c r="M901" s="58"/>
      <c r="N901" s="58"/>
      <c r="O901" s="58"/>
      <c r="P901" s="58"/>
      <c r="Q901" s="58"/>
    </row>
  </sheetData>
  <mergeCells count="615">
    <mergeCell ref="B2:Q2"/>
    <mergeCell ref="B3:Q3"/>
    <mergeCell ref="B4:Q4"/>
    <mergeCell ref="B5:Q5"/>
    <mergeCell ref="C6:Q6"/>
    <mergeCell ref="B8:Q10"/>
    <mergeCell ref="C66:F66"/>
    <mergeCell ref="C68:E68"/>
    <mergeCell ref="C70:D70"/>
    <mergeCell ref="M70:P70"/>
    <mergeCell ref="M71:P74"/>
    <mergeCell ref="C72:E72"/>
    <mergeCell ref="C74:E74"/>
    <mergeCell ref="B12:Q12"/>
    <mergeCell ref="M44:P49"/>
    <mergeCell ref="M51:P54"/>
    <mergeCell ref="M59:P62"/>
    <mergeCell ref="C61:H61"/>
    <mergeCell ref="M63:P65"/>
    <mergeCell ref="C64:J64"/>
    <mergeCell ref="C109:K109"/>
    <mergeCell ref="C110:K110"/>
    <mergeCell ref="C111:K111"/>
    <mergeCell ref="C112:K112"/>
    <mergeCell ref="B113:B115"/>
    <mergeCell ref="C113:K115"/>
    <mergeCell ref="M75:P77"/>
    <mergeCell ref="C76:E76"/>
    <mergeCell ref="C78:F78"/>
    <mergeCell ref="M78:P80"/>
    <mergeCell ref="B88:L88"/>
    <mergeCell ref="E90:L94"/>
    <mergeCell ref="C131:F131"/>
    <mergeCell ref="C134:I134"/>
    <mergeCell ref="C136:D136"/>
    <mergeCell ref="C139:F139"/>
    <mergeCell ref="C142:F142"/>
    <mergeCell ref="C145:D145"/>
    <mergeCell ref="B116:B118"/>
    <mergeCell ref="C116:K118"/>
    <mergeCell ref="B119:B123"/>
    <mergeCell ref="C119:K123"/>
    <mergeCell ref="C127:H127"/>
    <mergeCell ref="C129:F129"/>
    <mergeCell ref="B221:Q221"/>
    <mergeCell ref="B222:Q223"/>
    <mergeCell ref="B224:Q224"/>
    <mergeCell ref="B225:E225"/>
    <mergeCell ref="G225:I225"/>
    <mergeCell ref="K225:M225"/>
    <mergeCell ref="O225:P225"/>
    <mergeCell ref="C147:F147"/>
    <mergeCell ref="C150:G150"/>
    <mergeCell ref="C154:H154"/>
    <mergeCell ref="C156:F156"/>
    <mergeCell ref="C158:F158"/>
    <mergeCell ref="C160:F160"/>
    <mergeCell ref="B228:E228"/>
    <mergeCell ref="G228:I228"/>
    <mergeCell ref="K228:M229"/>
    <mergeCell ref="O228:P228"/>
    <mergeCell ref="B229:E229"/>
    <mergeCell ref="G229:I229"/>
    <mergeCell ref="O229:P229"/>
    <mergeCell ref="B226:E226"/>
    <mergeCell ref="G226:I226"/>
    <mergeCell ref="K226:M226"/>
    <mergeCell ref="O226:P226"/>
    <mergeCell ref="B227:E227"/>
    <mergeCell ref="G227:I227"/>
    <mergeCell ref="K227:M227"/>
    <mergeCell ref="O227:P227"/>
    <mergeCell ref="B232:E232"/>
    <mergeCell ref="G232:I232"/>
    <mergeCell ref="K232:M232"/>
    <mergeCell ref="O232:P232"/>
    <mergeCell ref="B233:E233"/>
    <mergeCell ref="G233:I233"/>
    <mergeCell ref="K233:M233"/>
    <mergeCell ref="O233:P233"/>
    <mergeCell ref="B230:E230"/>
    <mergeCell ref="G230:I230"/>
    <mergeCell ref="K230:M230"/>
    <mergeCell ref="O230:P230"/>
    <mergeCell ref="B231:E231"/>
    <mergeCell ref="G231:I231"/>
    <mergeCell ref="K231:M231"/>
    <mergeCell ref="O231:P231"/>
    <mergeCell ref="B238:E238"/>
    <mergeCell ref="G238:I238"/>
    <mergeCell ref="K238:M238"/>
    <mergeCell ref="O238:Q238"/>
    <mergeCell ref="B241:D241"/>
    <mergeCell ref="B245:G246"/>
    <mergeCell ref="I245:O245"/>
    <mergeCell ref="B234:E234"/>
    <mergeCell ref="G234:I234"/>
    <mergeCell ref="K234:M234"/>
    <mergeCell ref="O234:P234"/>
    <mergeCell ref="O235:P235"/>
    <mergeCell ref="G237:I237"/>
    <mergeCell ref="A246:A270"/>
    <mergeCell ref="B253:G253"/>
    <mergeCell ref="I257:O257"/>
    <mergeCell ref="I258:I261"/>
    <mergeCell ref="J258:J261"/>
    <mergeCell ref="K258:L259"/>
    <mergeCell ref="M258:M259"/>
    <mergeCell ref="N258:N259"/>
    <mergeCell ref="O258:O259"/>
    <mergeCell ref="F259:G259"/>
    <mergeCell ref="I264:O265"/>
    <mergeCell ref="B265:B266"/>
    <mergeCell ref="C265:C266"/>
    <mergeCell ref="E265:E266"/>
    <mergeCell ref="F265:F266"/>
    <mergeCell ref="B267:G267"/>
    <mergeCell ref="I267:N268"/>
    <mergeCell ref="F260:G260"/>
    <mergeCell ref="K260:L261"/>
    <mergeCell ref="M260:M261"/>
    <mergeCell ref="N260:N261"/>
    <mergeCell ref="O260:O261"/>
    <mergeCell ref="B262:B263"/>
    <mergeCell ref="C262:C263"/>
    <mergeCell ref="E262:E263"/>
    <mergeCell ref="F262:F263"/>
    <mergeCell ref="I263:O263"/>
    <mergeCell ref="B269:G270"/>
    <mergeCell ref="I269:N270"/>
    <mergeCell ref="I271:I272"/>
    <mergeCell ref="J271:J272"/>
    <mergeCell ref="K271:K272"/>
    <mergeCell ref="L271:L272"/>
    <mergeCell ref="M271:M272"/>
    <mergeCell ref="N271:N272"/>
    <mergeCell ref="B272:G272"/>
    <mergeCell ref="A273:A291"/>
    <mergeCell ref="B273:G274"/>
    <mergeCell ref="I273:I274"/>
    <mergeCell ref="J273:J274"/>
    <mergeCell ref="K273:K274"/>
    <mergeCell ref="L273:L274"/>
    <mergeCell ref="I279:I280"/>
    <mergeCell ref="J279:J280"/>
    <mergeCell ref="K279:K280"/>
    <mergeCell ref="L279:L280"/>
    <mergeCell ref="M273:M274"/>
    <mergeCell ref="N273:N274"/>
    <mergeCell ref="B275:G277"/>
    <mergeCell ref="I275:N276"/>
    <mergeCell ref="I277:I278"/>
    <mergeCell ref="J277:J278"/>
    <mergeCell ref="K277:K278"/>
    <mergeCell ref="L277:L278"/>
    <mergeCell ref="M277:M278"/>
    <mergeCell ref="N277:N278"/>
    <mergeCell ref="M279:M280"/>
    <mergeCell ref="N279:N280"/>
    <mergeCell ref="I283:N284"/>
    <mergeCell ref="I286:M288"/>
    <mergeCell ref="B289:F291"/>
    <mergeCell ref="I289:I290"/>
    <mergeCell ref="J289:J290"/>
    <mergeCell ref="K289:K290"/>
    <mergeCell ref="L289:L290"/>
    <mergeCell ref="M289:M290"/>
    <mergeCell ref="I291:I292"/>
    <mergeCell ref="J291:J292"/>
    <mergeCell ref="K291:K292"/>
    <mergeCell ref="L291:L292"/>
    <mergeCell ref="M291:M292"/>
    <mergeCell ref="B293:G294"/>
    <mergeCell ref="I293:I294"/>
    <mergeCell ref="J293:J294"/>
    <mergeCell ref="K293:K294"/>
    <mergeCell ref="L293:L294"/>
    <mergeCell ref="M293:M294"/>
    <mergeCell ref="B295:B296"/>
    <mergeCell ref="C295:C296"/>
    <mergeCell ref="D295:D296"/>
    <mergeCell ref="E295:E296"/>
    <mergeCell ref="F295:G296"/>
    <mergeCell ref="I295:I296"/>
    <mergeCell ref="J295:J296"/>
    <mergeCell ref="K295:K296"/>
    <mergeCell ref="L295:L296"/>
    <mergeCell ref="M297:M298"/>
    <mergeCell ref="B299:G299"/>
    <mergeCell ref="I299:I300"/>
    <mergeCell ref="J299:J300"/>
    <mergeCell ref="K299:K300"/>
    <mergeCell ref="L299:L300"/>
    <mergeCell ref="M299:M300"/>
    <mergeCell ref="M295:M296"/>
    <mergeCell ref="B297:B298"/>
    <mergeCell ref="C297:C298"/>
    <mergeCell ref="D297:D298"/>
    <mergeCell ref="E297:E298"/>
    <mergeCell ref="F297:G298"/>
    <mergeCell ref="I297:I298"/>
    <mergeCell ref="J297:J298"/>
    <mergeCell ref="K297:K298"/>
    <mergeCell ref="L297:L298"/>
    <mergeCell ref="B309:B310"/>
    <mergeCell ref="C309:D310"/>
    <mergeCell ref="E309:F310"/>
    <mergeCell ref="G309:H310"/>
    <mergeCell ref="I309:J310"/>
    <mergeCell ref="K309:K310"/>
    <mergeCell ref="I301:M301"/>
    <mergeCell ref="I302:M303"/>
    <mergeCell ref="B305:K306"/>
    <mergeCell ref="B307:K307"/>
    <mergeCell ref="C308:D308"/>
    <mergeCell ref="E308:F308"/>
    <mergeCell ref="G308:H308"/>
    <mergeCell ref="I308:J308"/>
    <mergeCell ref="B315:K315"/>
    <mergeCell ref="C316:K316"/>
    <mergeCell ref="B317:B318"/>
    <mergeCell ref="C317:K318"/>
    <mergeCell ref="B319:K319"/>
    <mergeCell ref="B320:E320"/>
    <mergeCell ref="B312:K312"/>
    <mergeCell ref="B313:B314"/>
    <mergeCell ref="C313:D314"/>
    <mergeCell ref="E313:F314"/>
    <mergeCell ref="G313:H314"/>
    <mergeCell ref="I313:J314"/>
    <mergeCell ref="K313:K314"/>
    <mergeCell ref="B323:K324"/>
    <mergeCell ref="B326:N328"/>
    <mergeCell ref="C329:M329"/>
    <mergeCell ref="C330:M330"/>
    <mergeCell ref="C331:M332"/>
    <mergeCell ref="D333:M333"/>
    <mergeCell ref="B321:C321"/>
    <mergeCell ref="E321:F321"/>
    <mergeCell ref="H321:I321"/>
    <mergeCell ref="B322:C322"/>
    <mergeCell ref="E322:F322"/>
    <mergeCell ref="H322:I322"/>
    <mergeCell ref="I334:I336"/>
    <mergeCell ref="L334:L336"/>
    <mergeCell ref="M334:M336"/>
    <mergeCell ref="C338:C339"/>
    <mergeCell ref="D338:D339"/>
    <mergeCell ref="E338:E339"/>
    <mergeCell ref="F338:F339"/>
    <mergeCell ref="G338:G339"/>
    <mergeCell ref="H338:H339"/>
    <mergeCell ref="I338:I339"/>
    <mergeCell ref="C334:C336"/>
    <mergeCell ref="D334:D336"/>
    <mergeCell ref="E334:E336"/>
    <mergeCell ref="F334:F336"/>
    <mergeCell ref="G334:G336"/>
    <mergeCell ref="H334:H336"/>
    <mergeCell ref="L338:L339"/>
    <mergeCell ref="M338:M339"/>
    <mergeCell ref="D343:M343"/>
    <mergeCell ref="C344:L344"/>
    <mergeCell ref="C345:C346"/>
    <mergeCell ref="D345:D346"/>
    <mergeCell ref="E345:E346"/>
    <mergeCell ref="F345:F346"/>
    <mergeCell ref="G345:G346"/>
    <mergeCell ref="H345:H346"/>
    <mergeCell ref="D357:M357"/>
    <mergeCell ref="C358:M360"/>
    <mergeCell ref="C366:M367"/>
    <mergeCell ref="C373:M374"/>
    <mergeCell ref="B376:J376"/>
    <mergeCell ref="B377:J377"/>
    <mergeCell ref="I345:I346"/>
    <mergeCell ref="L345:L346"/>
    <mergeCell ref="M345:M346"/>
    <mergeCell ref="D347:I347"/>
    <mergeCell ref="J352:K353"/>
    <mergeCell ref="L352:M353"/>
    <mergeCell ref="B378:J379"/>
    <mergeCell ref="B382:J383"/>
    <mergeCell ref="B384:J385"/>
    <mergeCell ref="B386:C387"/>
    <mergeCell ref="D386:D387"/>
    <mergeCell ref="E386:E387"/>
    <mergeCell ref="F386:F387"/>
    <mergeCell ref="G386:G387"/>
    <mergeCell ref="H386:H387"/>
    <mergeCell ref="I386:I387"/>
    <mergeCell ref="B413:C413"/>
    <mergeCell ref="F413:G413"/>
    <mergeCell ref="I413:J413"/>
    <mergeCell ref="M413:N413"/>
    <mergeCell ref="B414:B418"/>
    <mergeCell ref="C414:C418"/>
    <mergeCell ref="I414:I418"/>
    <mergeCell ref="J414:J418"/>
    <mergeCell ref="J386:J387"/>
    <mergeCell ref="B392:J394"/>
    <mergeCell ref="B395:J396"/>
    <mergeCell ref="B404:J405"/>
    <mergeCell ref="B412:G412"/>
    <mergeCell ref="I412:N412"/>
    <mergeCell ref="K433:N433"/>
    <mergeCell ref="K436:M436"/>
    <mergeCell ref="B445:G446"/>
    <mergeCell ref="I445:J446"/>
    <mergeCell ref="K445:L446"/>
    <mergeCell ref="M445:M446"/>
    <mergeCell ref="N445:N446"/>
    <mergeCell ref="F423:I424"/>
    <mergeCell ref="K423:N424"/>
    <mergeCell ref="K425:N425"/>
    <mergeCell ref="F426:I426"/>
    <mergeCell ref="K426:N426"/>
    <mergeCell ref="K427:K428"/>
    <mergeCell ref="L427:L428"/>
    <mergeCell ref="M427:M428"/>
    <mergeCell ref="N427:N428"/>
    <mergeCell ref="B447:G448"/>
    <mergeCell ref="I447:J447"/>
    <mergeCell ref="I448:J448"/>
    <mergeCell ref="C449:G449"/>
    <mergeCell ref="I449:J449"/>
    <mergeCell ref="C450:G450"/>
    <mergeCell ref="I450:J450"/>
    <mergeCell ref="F432:I432"/>
    <mergeCell ref="F433:I433"/>
    <mergeCell ref="B456:B457"/>
    <mergeCell ref="C456:G457"/>
    <mergeCell ref="B458:B459"/>
    <mergeCell ref="C458:G459"/>
    <mergeCell ref="B462:C463"/>
    <mergeCell ref="D462:D463"/>
    <mergeCell ref="E462:E463"/>
    <mergeCell ref="C451:G451"/>
    <mergeCell ref="I451:J451"/>
    <mergeCell ref="C452:G452"/>
    <mergeCell ref="C453:G453"/>
    <mergeCell ref="C454:G454"/>
    <mergeCell ref="C455:G455"/>
    <mergeCell ref="N463:N464"/>
    <mergeCell ref="B464:B465"/>
    <mergeCell ref="C464:C465"/>
    <mergeCell ref="D464:D465"/>
    <mergeCell ref="E464:E465"/>
    <mergeCell ref="H465:H466"/>
    <mergeCell ref="I465:I466"/>
    <mergeCell ref="J465:J466"/>
    <mergeCell ref="K465:K466"/>
    <mergeCell ref="L465:L466"/>
    <mergeCell ref="H463:H464"/>
    <mergeCell ref="I463:I464"/>
    <mergeCell ref="J463:J464"/>
    <mergeCell ref="K463:K464"/>
    <mergeCell ref="L463:L464"/>
    <mergeCell ref="M463:M464"/>
    <mergeCell ref="M465:M466"/>
    <mergeCell ref="N465:N466"/>
    <mergeCell ref="B467:B468"/>
    <mergeCell ref="C467:C468"/>
    <mergeCell ref="D467:D468"/>
    <mergeCell ref="E467:E468"/>
    <mergeCell ref="H467:N467"/>
    <mergeCell ref="H468:H469"/>
    <mergeCell ref="I468:I469"/>
    <mergeCell ref="J468:J469"/>
    <mergeCell ref="K468:K469"/>
    <mergeCell ref="L468:L469"/>
    <mergeCell ref="M468:M469"/>
    <mergeCell ref="N468:N469"/>
    <mergeCell ref="B469:B470"/>
    <mergeCell ref="C469:C470"/>
    <mergeCell ref="D469:D470"/>
    <mergeCell ref="E469:E470"/>
    <mergeCell ref="H470:N470"/>
    <mergeCell ref="B471:E471"/>
    <mergeCell ref="B473:Q474"/>
    <mergeCell ref="B476:N476"/>
    <mergeCell ref="A477:A500"/>
    <mergeCell ref="B477:N478"/>
    <mergeCell ref="B479:N480"/>
    <mergeCell ref="C490:M490"/>
    <mergeCell ref="H491:M491"/>
    <mergeCell ref="D492:E492"/>
    <mergeCell ref="B499:N500"/>
    <mergeCell ref="B533:J533"/>
    <mergeCell ref="B546:G546"/>
    <mergeCell ref="I546:N546"/>
    <mergeCell ref="J554:N554"/>
    <mergeCell ref="M564:N564"/>
    <mergeCell ref="G565:H566"/>
    <mergeCell ref="M565:N565"/>
    <mergeCell ref="B502:N502"/>
    <mergeCell ref="A503:A519"/>
    <mergeCell ref="B503:N504"/>
    <mergeCell ref="B505:N506"/>
    <mergeCell ref="B507:N507"/>
    <mergeCell ref="B509:C509"/>
    <mergeCell ref="G509:H509"/>
    <mergeCell ref="K509:L509"/>
    <mergeCell ref="B518:N519"/>
    <mergeCell ref="G583:H583"/>
    <mergeCell ref="G584:H584"/>
    <mergeCell ref="G588:H588"/>
    <mergeCell ref="G589:H589"/>
    <mergeCell ref="B606:G606"/>
    <mergeCell ref="B612:E612"/>
    <mergeCell ref="M571:N571"/>
    <mergeCell ref="G572:H573"/>
    <mergeCell ref="M572:N572"/>
    <mergeCell ref="M574:N574"/>
    <mergeCell ref="M579:N579"/>
    <mergeCell ref="G581:H582"/>
    <mergeCell ref="C638:E638"/>
    <mergeCell ref="H638:I638"/>
    <mergeCell ref="K638:L638"/>
    <mergeCell ref="C639:E639"/>
    <mergeCell ref="H639:I639"/>
    <mergeCell ref="K639:L639"/>
    <mergeCell ref="B615:F615"/>
    <mergeCell ref="B619:G619"/>
    <mergeCell ref="B620:G620"/>
    <mergeCell ref="B626:F626"/>
    <mergeCell ref="B630:E630"/>
    <mergeCell ref="C637:L637"/>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46:E646"/>
    <mergeCell ref="C650:L650"/>
    <mergeCell ref="C651:L651"/>
    <mergeCell ref="C652:L652"/>
    <mergeCell ref="C653:L653"/>
    <mergeCell ref="C654:L654"/>
    <mergeCell ref="C644:E644"/>
    <mergeCell ref="H644:I644"/>
    <mergeCell ref="K644:L644"/>
    <mergeCell ref="C645:E645"/>
    <mergeCell ref="H645:I645"/>
    <mergeCell ref="K645:L645"/>
    <mergeCell ref="C656:C658"/>
    <mergeCell ref="D657:F657"/>
    <mergeCell ref="D658:F658"/>
    <mergeCell ref="C660:C665"/>
    <mergeCell ref="D661:F661"/>
    <mergeCell ref="D662:F662"/>
    <mergeCell ref="D663:F663"/>
    <mergeCell ref="D664:F664"/>
    <mergeCell ref="D665:F665"/>
    <mergeCell ref="L688:L689"/>
    <mergeCell ref="C691:D692"/>
    <mergeCell ref="E691:E692"/>
    <mergeCell ref="F691:F692"/>
    <mergeCell ref="G691:G692"/>
    <mergeCell ref="H691:H692"/>
    <mergeCell ref="D669:F669"/>
    <mergeCell ref="D671:F671"/>
    <mergeCell ref="D673:F673"/>
    <mergeCell ref="C678:L678"/>
    <mergeCell ref="C680:L683"/>
    <mergeCell ref="C684:L687"/>
    <mergeCell ref="I691:I692"/>
    <mergeCell ref="J691:J692"/>
    <mergeCell ref="C694:C695"/>
    <mergeCell ref="D694:D695"/>
    <mergeCell ref="E694:F695"/>
    <mergeCell ref="G694:G695"/>
    <mergeCell ref="H694:H695"/>
    <mergeCell ref="I694:J695"/>
    <mergeCell ref="C688:F689"/>
    <mergeCell ref="G688:H689"/>
    <mergeCell ref="I688:I689"/>
    <mergeCell ref="J688:K689"/>
    <mergeCell ref="C706:M706"/>
    <mergeCell ref="C707:M707"/>
    <mergeCell ref="E708:M708"/>
    <mergeCell ref="C709:M709"/>
    <mergeCell ref="C710:D711"/>
    <mergeCell ref="E710:F711"/>
    <mergeCell ref="K694:L695"/>
    <mergeCell ref="C696:C697"/>
    <mergeCell ref="D696:D697"/>
    <mergeCell ref="E696:F697"/>
    <mergeCell ref="G696:G697"/>
    <mergeCell ref="H696:H697"/>
    <mergeCell ref="J696:J697"/>
    <mergeCell ref="K696:L697"/>
    <mergeCell ref="C717:D718"/>
    <mergeCell ref="E717:F718"/>
    <mergeCell ref="G717:I718"/>
    <mergeCell ref="M717:M718"/>
    <mergeCell ref="C719:D719"/>
    <mergeCell ref="E719:F719"/>
    <mergeCell ref="G719:I719"/>
    <mergeCell ref="C712:D712"/>
    <mergeCell ref="E712:F712"/>
    <mergeCell ref="C713:D713"/>
    <mergeCell ref="E713:F713"/>
    <mergeCell ref="C715:M715"/>
    <mergeCell ref="E716:M716"/>
    <mergeCell ref="C726:D727"/>
    <mergeCell ref="E726:F727"/>
    <mergeCell ref="G726:G727"/>
    <mergeCell ref="H726:M727"/>
    <mergeCell ref="C728:M728"/>
    <mergeCell ref="C729:D729"/>
    <mergeCell ref="E729:F729"/>
    <mergeCell ref="C720:D720"/>
    <mergeCell ref="E720:F720"/>
    <mergeCell ref="G720:I720"/>
    <mergeCell ref="C724:D725"/>
    <mergeCell ref="E724:F725"/>
    <mergeCell ref="G724:G725"/>
    <mergeCell ref="H724:M724"/>
    <mergeCell ref="C733:D733"/>
    <mergeCell ref="E733:F733"/>
    <mergeCell ref="C734:D734"/>
    <mergeCell ref="E734:F734"/>
    <mergeCell ref="C735:D735"/>
    <mergeCell ref="E735:F735"/>
    <mergeCell ref="C730:D730"/>
    <mergeCell ref="E730:F730"/>
    <mergeCell ref="C731:D731"/>
    <mergeCell ref="E731:F731"/>
    <mergeCell ref="C732:D732"/>
    <mergeCell ref="E732:F732"/>
    <mergeCell ref="C739:D739"/>
    <mergeCell ref="E739:F739"/>
    <mergeCell ref="C740:D740"/>
    <mergeCell ref="E740:F740"/>
    <mergeCell ref="C743:M745"/>
    <mergeCell ref="B749:N749"/>
    <mergeCell ref="C736:D736"/>
    <mergeCell ref="E736:F736"/>
    <mergeCell ref="C737:D737"/>
    <mergeCell ref="E737:F737"/>
    <mergeCell ref="C738:D738"/>
    <mergeCell ref="E738:F738"/>
    <mergeCell ref="B751:N751"/>
    <mergeCell ref="J755:L755"/>
    <mergeCell ref="A765:A766"/>
    <mergeCell ref="B765:M766"/>
    <mergeCell ref="N765:N766"/>
    <mergeCell ref="A767:A792"/>
    <mergeCell ref="B767:N767"/>
    <mergeCell ref="B768:N771"/>
    <mergeCell ref="B772:N772"/>
    <mergeCell ref="L773:M773"/>
    <mergeCell ref="C790:N790"/>
    <mergeCell ref="C791:N791"/>
    <mergeCell ref="B792:N792"/>
    <mergeCell ref="A794:A795"/>
    <mergeCell ref="B794:M795"/>
    <mergeCell ref="N794:N795"/>
    <mergeCell ref="L774:M774"/>
    <mergeCell ref="C786:D786"/>
    <mergeCell ref="F786:G786"/>
    <mergeCell ref="I786:J786"/>
    <mergeCell ref="L786:M786"/>
    <mergeCell ref="B788:N789"/>
    <mergeCell ref="F822:G822"/>
    <mergeCell ref="I822:J822"/>
    <mergeCell ref="L822:M822"/>
    <mergeCell ref="B824:N825"/>
    <mergeCell ref="C826:N826"/>
    <mergeCell ref="C827:N827"/>
    <mergeCell ref="A796:A828"/>
    <mergeCell ref="B796:N796"/>
    <mergeCell ref="B797:N800"/>
    <mergeCell ref="B801:N801"/>
    <mergeCell ref="L802:M802"/>
    <mergeCell ref="L803:M804"/>
    <mergeCell ref="B810:N810"/>
    <mergeCell ref="L811:M811"/>
    <mergeCell ref="L812:M812"/>
    <mergeCell ref="C822:D822"/>
    <mergeCell ref="F837:J837"/>
    <mergeCell ref="K837:L837"/>
    <mergeCell ref="A839:C839"/>
    <mergeCell ref="L839:M839"/>
    <mergeCell ref="A840:C840"/>
    <mergeCell ref="L840:M840"/>
    <mergeCell ref="B828:N828"/>
    <mergeCell ref="A833:J833"/>
    <mergeCell ref="K833:S833"/>
    <mergeCell ref="A834:C837"/>
    <mergeCell ref="D834:D837"/>
    <mergeCell ref="E834:E837"/>
    <mergeCell ref="F834:J834"/>
    <mergeCell ref="K834:L835"/>
    <mergeCell ref="M834:S837"/>
    <mergeCell ref="K836:L836"/>
    <mergeCell ref="A845:C845"/>
    <mergeCell ref="L845:M845"/>
    <mergeCell ref="A846:C846"/>
    <mergeCell ref="L846:M846"/>
    <mergeCell ref="A850:Q851"/>
    <mergeCell ref="A841:C841"/>
    <mergeCell ref="L841:M841"/>
    <mergeCell ref="A842:C842"/>
    <mergeCell ref="L842:M842"/>
    <mergeCell ref="A844:C844"/>
    <mergeCell ref="L844:M844"/>
  </mergeCells>
  <conditionalFormatting sqref="A245">
    <cfRule type="expression" dxfId="2" priority="3" stopIfTrue="1">
      <formula>OR(ROW()=CELL("ligne"),COLUMN()=CELL("colonne"))</formula>
    </cfRule>
  </conditionalFormatting>
  <conditionalFormatting sqref="A272">
    <cfRule type="expression" dxfId="1" priority="2" stopIfTrue="1">
      <formula>OR(ROW()=CELL("ligne"),COLUMN()=CELL("colonne"))</formula>
    </cfRule>
  </conditionalFormatting>
  <conditionalFormatting sqref="C309">
    <cfRule type="cellIs" dxfId="0" priority="1" operator="greaterThan">
      <formula>1</formula>
    </cfRule>
  </conditionalFormatting>
  <hyperlinks>
    <hyperlink ref="C436" r:id="rId1"/>
    <hyperlink ref="C440" r:id="rId2"/>
    <hyperlink ref="C59" r:id="rId3"/>
    <hyperlink ref="C61" r:id="rId4"/>
    <hyperlink ref="B606" r:id="rId5"/>
    <hyperlink ref="B612" r:id="rId6"/>
    <hyperlink ref="B620" r:id="rId7"/>
    <hyperlink ref="B619" r:id="rId8"/>
    <hyperlink ref="B626" r:id="rId9"/>
    <hyperlink ref="B630" r:id="rId10"/>
    <hyperlink ref="B615" r:id="rId11"/>
    <hyperlink ref="J613" r:id="rId12"/>
    <hyperlink ref="J614" r:id="rId13"/>
    <hyperlink ref="J607" r:id="rId14"/>
    <hyperlink ref="J620" r:id="rId15"/>
    <hyperlink ref="J626" r:id="rId16"/>
    <hyperlink ref="J617" r:id="rId17"/>
    <hyperlink ref="J631" r:id="rId18"/>
    <hyperlink ref="J627" r:id="rId19"/>
    <hyperlink ref="J628" r:id="rId20"/>
    <hyperlink ref="J623" r:id="rId21"/>
    <hyperlink ref="J554" r:id="rId22"/>
    <hyperlink ref="K556" r:id="rId23"/>
    <hyperlink ref="K558" r:id="rId24"/>
    <hyperlink ref="K559" r:id="rId25"/>
    <hyperlink ref="K555" r:id="rId26"/>
    <hyperlink ref="K560" r:id="rId27"/>
    <hyperlink ref="K561" r:id="rId28"/>
    <hyperlink ref="K557" r:id="rId29"/>
    <hyperlink ref="C154" r:id="rId30"/>
    <hyperlink ref="C156" r:id="rId31"/>
    <hyperlink ref="C158" r:id="rId32"/>
    <hyperlink ref="B558" r:id="rId33"/>
    <hyperlink ref="B559" r:id="rId34"/>
    <hyperlink ref="B562" r:id="rId35"/>
    <hyperlink ref="C181" r:id="rId36" display="http://www.mdf-xlpages.com/modules/publisher/item.php?itemid=167"/>
    <hyperlink ref="C182" r:id="rId37" display="http://www.mdf-xlpages.com/modules/publisher/item.php?itemid=149"/>
    <hyperlink ref="C183" r:id="rId38" display="http://www.mdf-xlpages.com/modules/publisher/item.php?itemid=152"/>
    <hyperlink ref="C184" r:id="rId39" display="http://www.mdf-xlpages.com/modules/publisher/item.php?itemid=153"/>
    <hyperlink ref="C186" r:id="rId40" display="http://www.mdf-xlpages.com/modules/publisher/item.php?itemid=134"/>
    <hyperlink ref="C187" r:id="rId41" display="http://www.mdf-xlpages.com/modules/publisher/item.php?itemid=105"/>
    <hyperlink ref="C188" r:id="rId42" display="http://www.mdf-xlpages.com/modules/publisher/item.php?itemid=91"/>
    <hyperlink ref="C189" r:id="rId43" display="http://www.mdf-xlpages.com/modules/publisher/item.php?itemid=99"/>
    <hyperlink ref="C190" r:id="rId44" display="http://www.mdf-xlpages.com/modules/publisher/item.php?itemid=98"/>
    <hyperlink ref="C191" r:id="rId45" display="http://www.mdf-xlpages.com/modules/publisher/item.php?itemid=86"/>
    <hyperlink ref="C192" r:id="rId46" display="http://www.mdf-xlpages.com/modules/publisher/item.php?itemid=97"/>
    <hyperlink ref="C193" r:id="rId47" display="http://www.mdf-xlpages.com/modules/publisher/item.php?itemid=93"/>
    <hyperlink ref="C194" r:id="rId48" display="http://www.mdf-xlpages.com/modules/publisher/item.php?itemid=84"/>
    <hyperlink ref="C195" r:id="rId49" display="http://www.mdf-xlpages.com/modules/publisher/item.php?itemid=94"/>
    <hyperlink ref="C196" r:id="rId50" display="http://www.mdf-xlpages.com/modules/publisher/item.php?itemid=83"/>
    <hyperlink ref="C197" r:id="rId51" display="http://www.mdf-xlpages.com/modules/publisher/item.php?itemid=87"/>
    <hyperlink ref="C198" r:id="rId52" display="http://www.mdf-xlpages.com/modules/publisher/item.php?itemid=85"/>
    <hyperlink ref="C199" r:id="rId53" display="http://www.mdf-xlpages.com/modules/publisher/item.php?itemid=81"/>
    <hyperlink ref="C200" r:id="rId54" display="http://www.mdf-xlpages.com/modules/publisher/item.php?itemid=82"/>
    <hyperlink ref="C201" r:id="rId55" display="http://www.mdf-xlpages.com/modules/publisher/item.php?itemid=90"/>
    <hyperlink ref="C202" r:id="rId56" display="http://www.mdf-xlpages.com/modules/publisher/item.php?itemid=76"/>
    <hyperlink ref="C203" r:id="rId57" display="http://www.mdf-xlpages.com/modules/publisher/item.php?itemid=64"/>
    <hyperlink ref="C204" r:id="rId58" display="http://www.mdf-xlpages.com/modules/publisher/item.php?itemid=63"/>
    <hyperlink ref="C205" r:id="rId59" display="http://www.mdf-xlpages.com/modules/publisher/item.php?itemid=62"/>
    <hyperlink ref="C206" r:id="rId60" display="http://www.mdf-xlpages.com/modules/publisher/item.php?itemid=25"/>
    <hyperlink ref="D178" r:id="rId61"/>
    <hyperlink ref="C160" r:id="rId62"/>
    <hyperlink ref="C64" r:id="rId63"/>
    <hyperlink ref="C66" r:id="rId64" display="http://www.uprt.fr/mesimages/fichiers-uprt/ff-fiches-fabrication/ff-fiches-fabrication-maj-02-2015/ff-documents-divers-maj-02-2015/ff-fiches-apprentis-Patissiers-07-03-2016.xlsx"/>
    <hyperlink ref="C70" r:id="rId65" display="http://www.uprt.fr/mesimages/fichiers-uprt/ff-fiches-fabrication/ff-fiches-fabrication-maj-02-2015/ff-documents-divers-maj-02-2015/ff-Croquis.xlsx"/>
    <hyperlink ref="C72" r:id="rId66" display="http://www.uprt.fr/mesimages/fichiers-uprt/ff-fiches-fabrication/ff-fiches-fabrication-maj-02-2015/ff-documents-divers-maj-02-2015/ff-qualiterecettes2007.xls"/>
    <hyperlink ref="C74" r:id="rId67" display="http://www.uprt.fr/mesimages/fichiers-uprt/ff-fiches-fabrication/ff-fiches-fabrication-maj-02-2015/ff-documents-divers-maj-02-2015/ff-tableau-cuisson.pdf"/>
    <hyperlink ref="C78" r:id="rId68"/>
    <hyperlink ref="K433" r:id="rId69"/>
    <hyperlink ref="F433" r:id="rId70"/>
    <hyperlink ref="C134" r:id="rId71"/>
    <hyperlink ref="C136" r:id="rId72"/>
    <hyperlink ref="C139" r:id="rId73"/>
    <hyperlink ref="C142" r:id="rId74" tooltip="Télécharger" display="http://joseph.larmarange.net/IMG/pdf/memo_caracteres_speciaux_windows.pdf"/>
    <hyperlink ref="C145" r:id="rId75"/>
    <hyperlink ref="C150" r:id="rId76"/>
    <hyperlink ref="C6" r:id="rId77"/>
    <hyperlink ref="C129" r:id="rId78"/>
    <hyperlink ref="C131:F131" r:id="rId79" display="visualiseur d'Emoji et de symboles"/>
    <hyperlink ref="C147" r:id="rId80"/>
    <hyperlink ref="C127:H127" r:id="rId81" display="caractères  Alphanumériques cerclés"/>
    <hyperlink ref="C76" r:id="rId82" display="http://www.uprt.fr/mesimages/fichiers-uprt/pt-procedures-techniques/PT-bonnes-pratiques.doc"/>
    <hyperlink ref="H492" r:id="rId83" display="http://www.google.fr/url?sa=t&amp;rct=j&amp;q=&amp;esrc=s&amp;source=web&amp;cd=6&amp;ved=0CF4QFjAF&amp;url=http%3A%2F%2Fwww.salondublogculinaire.com%2Ft111382_feuilles-de-gelatine.htm&amp;ei=8ImkUqfoKqeS0AW9sICACQ&amp;usg=AFQjCNEc6KKZUXYcSTgjAvrRt2f6csBBuQ&amp;sig2=nBOHIqhSlud28pCjSyBh9g&amp;cad=rja"/>
    <hyperlink ref="H493" r:id="rId84"/>
    <hyperlink ref="H494" r:id="rId85"/>
    <hyperlink ref="H495"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hyperlink ref="E517"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hyperlink ref="B225" r:id="rId88"/>
    <hyperlink ref="B230" r:id="rId89" location="6" display="http://matoumatheux.ac-rennes.fr/num/numeration/doigt.htm - 6"/>
    <hyperlink ref="B231" r:id="rId90" location="6" display="http://matoumatheux.ac-rennes.fr/num/probleme/classer.htm - 6"/>
    <hyperlink ref="B232" r:id="rId91" location="6" display="http://matoumatheux.ac-rennes.fr/num/probleme/seringue.htm - 6"/>
    <hyperlink ref="B233" r:id="rId92" location="6" display="http://matoumatheux.ac-rennes.fr/num/probleme/etiquettes.htm - 6"/>
    <hyperlink ref="G225" r:id="rId93" location="6" display="http://matoumatheux.ac-rennes.fr/num/fractions/6/menthe1.htm - 6"/>
    <hyperlink ref="G227" r:id="rId94" location="6" display="http://matoumatheux.ac-rennes.fr/num/fractions/6/cocktail2.htm - 6"/>
    <hyperlink ref="G226" r:id="rId95" location="6" display="http://matoumatheux.ac-rennes.fr/num/fractions/6/cocktail1.htm - 6"/>
    <hyperlink ref="G228" r:id="rId96" location="6" display="http://matoumatheux.ac-rennes.fr/num/fractions/6/cocktail3.htm - 6"/>
    <hyperlink ref="G229" r:id="rId97" location="6" display="http://matoumatheux.ac-rennes.fr/num/fractions/6/cocktail4.htm - 6"/>
    <hyperlink ref="G231" r:id="rId98" location="6" display="http://matoumatheux.ac-rennes.fr/num/fractions/6/fractionsM.htm - 6"/>
    <hyperlink ref="G232" r:id="rId99" location="6" display="http://matoumatheux.ac-rennes.fr/num/fractions/6/fractionsM2.htm - 6"/>
    <hyperlink ref="G230" r:id="rId100" location="6" display="http://matoumatheux.ac-rennes.fr/num/fractions/6/menthe.htm - 6"/>
    <hyperlink ref="G233" r:id="rId101" location="6" display="http://matoumatheux.ac-rennes.fr/num/fractions/6/poisson.htm - 6"/>
    <hyperlink ref="G234" r:id="rId102" location="6" display="http://matoumatheux.ac-rennes.fr/num/proportionnalite/6/creme.htm - 6"/>
    <hyperlink ref="K225" r:id="rId103" location="6" display="http://matoumatheux.ac-rennes.fr/num/proportionnalite/6/gateauriz.htm - 6"/>
    <hyperlink ref="K226" r:id="rId104" location="6" display="http://matoumatheux.ac-rennes.fr/num/proportionnalite/6/far.htm - 6"/>
    <hyperlink ref="K227" r:id="rId105" location="6" display="http://matoumatheux.ac-rennes.fr/num/proportionnalite/6/boulangerie.htm - 6"/>
    <hyperlink ref="B234" r:id="rId106" location="6" display="http://matoumatheux.ac-rennes.fr/geom/unite/mesureur.htm - 6"/>
    <hyperlink ref="K230" r:id="rId107" location="6" display="http://matoumatheux.ac-rennes.fr/cours/mesures/convlong.htm - 6"/>
    <hyperlink ref="K231" r:id="rId108" location="6" display="http://matoumatheux.ac-rennes.fr/cours/mesures/convmasse.htm - 6"/>
    <hyperlink ref="K232" r:id="rId109" location="6" display="http://matoumatheux.ac-rennes.fr/geom/cercle/Bebert11.htm - 6"/>
    <hyperlink ref="K233" r:id="rId110" location="6" display="http://matoumatheux.ac-rennes.fr/geom/cercle/Bebert21.htm - 6"/>
    <hyperlink ref="K234" r:id="rId111" location="6" display="http://matoumatheux.ac-rennes.fr/geom/cercle/chien.htm - 6"/>
    <hyperlink ref="O225" r:id="rId112" location="6" display="http://matoumatheux.ac-rennes.fr/geom/solides/6/ruban.htm - 6"/>
    <hyperlink ref="O226" r:id="rId113" location="5" display="http://matoumatheux.ac-rennes.fr/geom/cercle/5/aire.htm - 5"/>
    <hyperlink ref="O227" r:id="rId114" location="5" display="http://matoumatheux.ac-rennes.fr/geom/cercle/5/rayon.htm - 5"/>
    <hyperlink ref="O228" r:id="rId115" location="5" display="http://matoumatheux.ac-rennes.fr/geom/cercle/5/couronne.htm - 5"/>
    <hyperlink ref="O229" r:id="rId116" location="5" display="http://matoumatheux.ac-rennes.fr/geom/solides/5/airecylindre.htm - 5"/>
    <hyperlink ref="O230" r:id="rId117" location="5" display="http://matoumatheux.ac-rennes.fr/geom/solides/5/volcylindre.htm - 5"/>
    <hyperlink ref="O232" r:id="rId118" location="4" display="http://matoumatheux.ac-rennes.fr/num/puissances/gateau.htm - 4"/>
    <hyperlink ref="O231" r:id="rId119" location="4" display="http://matoumatheux.ac-rennes.fr/cours/volume/cylindre.htm - 4"/>
    <hyperlink ref="O233" r:id="rId120" location="4" display="http://matoumatheux.ac-rennes.fr/cours/aire/airerect.htm - 4"/>
    <hyperlink ref="O234" r:id="rId121" location="3" display="http://matoumatheux.ac-rennes.fr/num/diviseur/probleme1.htm - 3"/>
    <hyperlink ref="O235" r:id="rId122" location="3" display="http://matoumatheux.ac-rennes.fr/num/courbe/casserole.htm - 3"/>
    <hyperlink ref="B238" r:id="rId123"/>
    <hyperlink ref="G238" r:id="rId124"/>
    <hyperlink ref="K238" r:id="rId125"/>
    <hyperlink ref="O238" r:id="rId126" location="q=RECETTES+PATISSERIE"/>
    <hyperlink ref="E241" r:id="rId127"/>
    <hyperlink ref="G241" r:id="rId128"/>
    <hyperlink ref="J241" r:id="rId129"/>
    <hyperlink ref="M241" r:id="rId130"/>
    <hyperlink ref="J282" r:id="rId131"/>
    <hyperlink ref="B406" r:id="rId132"/>
    <hyperlink ref="D371" r:id="rId133"/>
    <hyperlink ref="C68" r:id="rId134" display="http://www.uprt.fr/mesimages/fichiers-uprt/ff-fiches-fabrication/ff-documents-divers-maj-02-2015/ff-conditionnement.xls"/>
  </hyperlinks>
  <pageMargins left="0.7" right="0.7" top="0.75" bottom="0.75" header="0.3" footer="0.3"/>
  <pageSetup paperSize="9" orientation="portrait" r:id="rId135"/>
  <drawing r:id="rId13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7"/>
  <sheetViews>
    <sheetView showZeros="0" workbookViewId="0">
      <selection activeCell="G9" sqref="G9"/>
    </sheetView>
  </sheetViews>
  <sheetFormatPr baseColWidth="10" defaultRowHeight="12.75"/>
  <cols>
    <col min="1" max="1" width="2.140625" style="831" customWidth="1"/>
    <col min="2" max="2" width="75.7109375" style="831" customWidth="1"/>
    <col min="3" max="3" width="3.28515625" style="831" customWidth="1"/>
    <col min="4" max="4" width="88.28515625" style="831" customWidth="1"/>
    <col min="5" max="256" width="11.42578125" style="831"/>
    <col min="257" max="257" width="2.140625" style="831" customWidth="1"/>
    <col min="258" max="258" width="75.7109375" style="831" customWidth="1"/>
    <col min="259" max="259" width="3.28515625" style="831" customWidth="1"/>
    <col min="260" max="260" width="75.7109375" style="831" customWidth="1"/>
    <col min="261" max="512" width="11.42578125" style="831"/>
    <col min="513" max="513" width="2.140625" style="831" customWidth="1"/>
    <col min="514" max="514" width="75.7109375" style="831" customWidth="1"/>
    <col min="515" max="515" width="3.28515625" style="831" customWidth="1"/>
    <col min="516" max="516" width="75.7109375" style="831" customWidth="1"/>
    <col min="517" max="768" width="11.42578125" style="831"/>
    <col min="769" max="769" width="2.140625" style="831" customWidth="1"/>
    <col min="770" max="770" width="75.7109375" style="831" customWidth="1"/>
    <col min="771" max="771" width="3.28515625" style="831" customWidth="1"/>
    <col min="772" max="772" width="75.7109375" style="831" customWidth="1"/>
    <col min="773" max="1024" width="11.42578125" style="831"/>
    <col min="1025" max="1025" width="2.140625" style="831" customWidth="1"/>
    <col min="1026" max="1026" width="75.7109375" style="831" customWidth="1"/>
    <col min="1027" max="1027" width="3.28515625" style="831" customWidth="1"/>
    <col min="1028" max="1028" width="75.7109375" style="831" customWidth="1"/>
    <col min="1029" max="1280" width="11.42578125" style="831"/>
    <col min="1281" max="1281" width="2.140625" style="831" customWidth="1"/>
    <col min="1282" max="1282" width="75.7109375" style="831" customWidth="1"/>
    <col min="1283" max="1283" width="3.28515625" style="831" customWidth="1"/>
    <col min="1284" max="1284" width="75.7109375" style="831" customWidth="1"/>
    <col min="1285" max="1536" width="11.42578125" style="831"/>
    <col min="1537" max="1537" width="2.140625" style="831" customWidth="1"/>
    <col min="1538" max="1538" width="75.7109375" style="831" customWidth="1"/>
    <col min="1539" max="1539" width="3.28515625" style="831" customWidth="1"/>
    <col min="1540" max="1540" width="75.7109375" style="831" customWidth="1"/>
    <col min="1541" max="1792" width="11.42578125" style="831"/>
    <col min="1793" max="1793" width="2.140625" style="831" customWidth="1"/>
    <col min="1794" max="1794" width="75.7109375" style="831" customWidth="1"/>
    <col min="1795" max="1795" width="3.28515625" style="831" customWidth="1"/>
    <col min="1796" max="1796" width="75.7109375" style="831" customWidth="1"/>
    <col min="1797" max="2048" width="11.42578125" style="831"/>
    <col min="2049" max="2049" width="2.140625" style="831" customWidth="1"/>
    <col min="2050" max="2050" width="75.7109375" style="831" customWidth="1"/>
    <col min="2051" max="2051" width="3.28515625" style="831" customWidth="1"/>
    <col min="2052" max="2052" width="75.7109375" style="831" customWidth="1"/>
    <col min="2053" max="2304" width="11.42578125" style="831"/>
    <col min="2305" max="2305" width="2.140625" style="831" customWidth="1"/>
    <col min="2306" max="2306" width="75.7109375" style="831" customWidth="1"/>
    <col min="2307" max="2307" width="3.28515625" style="831" customWidth="1"/>
    <col min="2308" max="2308" width="75.7109375" style="831" customWidth="1"/>
    <col min="2309" max="2560" width="11.42578125" style="831"/>
    <col min="2561" max="2561" width="2.140625" style="831" customWidth="1"/>
    <col min="2562" max="2562" width="75.7109375" style="831" customWidth="1"/>
    <col min="2563" max="2563" width="3.28515625" style="831" customWidth="1"/>
    <col min="2564" max="2564" width="75.7109375" style="831" customWidth="1"/>
    <col min="2565" max="2816" width="11.42578125" style="831"/>
    <col min="2817" max="2817" width="2.140625" style="831" customWidth="1"/>
    <col min="2818" max="2818" width="75.7109375" style="831" customWidth="1"/>
    <col min="2819" max="2819" width="3.28515625" style="831" customWidth="1"/>
    <col min="2820" max="2820" width="75.7109375" style="831" customWidth="1"/>
    <col min="2821" max="3072" width="11.42578125" style="831"/>
    <col min="3073" max="3073" width="2.140625" style="831" customWidth="1"/>
    <col min="3074" max="3074" width="75.7109375" style="831" customWidth="1"/>
    <col min="3075" max="3075" width="3.28515625" style="831" customWidth="1"/>
    <col min="3076" max="3076" width="75.7109375" style="831" customWidth="1"/>
    <col min="3077" max="3328" width="11.42578125" style="831"/>
    <col min="3329" max="3329" width="2.140625" style="831" customWidth="1"/>
    <col min="3330" max="3330" width="75.7109375" style="831" customWidth="1"/>
    <col min="3331" max="3331" width="3.28515625" style="831" customWidth="1"/>
    <col min="3332" max="3332" width="75.7109375" style="831" customWidth="1"/>
    <col min="3333" max="3584" width="11.42578125" style="831"/>
    <col min="3585" max="3585" width="2.140625" style="831" customWidth="1"/>
    <col min="3586" max="3586" width="75.7109375" style="831" customWidth="1"/>
    <col min="3587" max="3587" width="3.28515625" style="831" customWidth="1"/>
    <col min="3588" max="3588" width="75.7109375" style="831" customWidth="1"/>
    <col min="3589" max="3840" width="11.42578125" style="831"/>
    <col min="3841" max="3841" width="2.140625" style="831" customWidth="1"/>
    <col min="3842" max="3842" width="75.7109375" style="831" customWidth="1"/>
    <col min="3843" max="3843" width="3.28515625" style="831" customWidth="1"/>
    <col min="3844" max="3844" width="75.7109375" style="831" customWidth="1"/>
    <col min="3845" max="4096" width="11.42578125" style="831"/>
    <col min="4097" max="4097" width="2.140625" style="831" customWidth="1"/>
    <col min="4098" max="4098" width="75.7109375" style="831" customWidth="1"/>
    <col min="4099" max="4099" width="3.28515625" style="831" customWidth="1"/>
    <col min="4100" max="4100" width="75.7109375" style="831" customWidth="1"/>
    <col min="4101" max="4352" width="11.42578125" style="831"/>
    <col min="4353" max="4353" width="2.140625" style="831" customWidth="1"/>
    <col min="4354" max="4354" width="75.7109375" style="831" customWidth="1"/>
    <col min="4355" max="4355" width="3.28515625" style="831" customWidth="1"/>
    <col min="4356" max="4356" width="75.7109375" style="831" customWidth="1"/>
    <col min="4357" max="4608" width="11.42578125" style="831"/>
    <col min="4609" max="4609" width="2.140625" style="831" customWidth="1"/>
    <col min="4610" max="4610" width="75.7109375" style="831" customWidth="1"/>
    <col min="4611" max="4611" width="3.28515625" style="831" customWidth="1"/>
    <col min="4612" max="4612" width="75.7109375" style="831" customWidth="1"/>
    <col min="4613" max="4864" width="11.42578125" style="831"/>
    <col min="4865" max="4865" width="2.140625" style="831" customWidth="1"/>
    <col min="4866" max="4866" width="75.7109375" style="831" customWidth="1"/>
    <col min="4867" max="4867" width="3.28515625" style="831" customWidth="1"/>
    <col min="4868" max="4868" width="75.7109375" style="831" customWidth="1"/>
    <col min="4869" max="5120" width="11.42578125" style="831"/>
    <col min="5121" max="5121" width="2.140625" style="831" customWidth="1"/>
    <col min="5122" max="5122" width="75.7109375" style="831" customWidth="1"/>
    <col min="5123" max="5123" width="3.28515625" style="831" customWidth="1"/>
    <col min="5124" max="5124" width="75.7109375" style="831" customWidth="1"/>
    <col min="5125" max="5376" width="11.42578125" style="831"/>
    <col min="5377" max="5377" width="2.140625" style="831" customWidth="1"/>
    <col min="5378" max="5378" width="75.7109375" style="831" customWidth="1"/>
    <col min="5379" max="5379" width="3.28515625" style="831" customWidth="1"/>
    <col min="5380" max="5380" width="75.7109375" style="831" customWidth="1"/>
    <col min="5381" max="5632" width="11.42578125" style="831"/>
    <col min="5633" max="5633" width="2.140625" style="831" customWidth="1"/>
    <col min="5634" max="5634" width="75.7109375" style="831" customWidth="1"/>
    <col min="5635" max="5635" width="3.28515625" style="831" customWidth="1"/>
    <col min="5636" max="5636" width="75.7109375" style="831" customWidth="1"/>
    <col min="5637" max="5888" width="11.42578125" style="831"/>
    <col min="5889" max="5889" width="2.140625" style="831" customWidth="1"/>
    <col min="5890" max="5890" width="75.7109375" style="831" customWidth="1"/>
    <col min="5891" max="5891" width="3.28515625" style="831" customWidth="1"/>
    <col min="5892" max="5892" width="75.7109375" style="831" customWidth="1"/>
    <col min="5893" max="6144" width="11.42578125" style="831"/>
    <col min="6145" max="6145" width="2.140625" style="831" customWidth="1"/>
    <col min="6146" max="6146" width="75.7109375" style="831" customWidth="1"/>
    <col min="6147" max="6147" width="3.28515625" style="831" customWidth="1"/>
    <col min="6148" max="6148" width="75.7109375" style="831" customWidth="1"/>
    <col min="6149" max="6400" width="11.42578125" style="831"/>
    <col min="6401" max="6401" width="2.140625" style="831" customWidth="1"/>
    <col min="6402" max="6402" width="75.7109375" style="831" customWidth="1"/>
    <col min="6403" max="6403" width="3.28515625" style="831" customWidth="1"/>
    <col min="6404" max="6404" width="75.7109375" style="831" customWidth="1"/>
    <col min="6405" max="6656" width="11.42578125" style="831"/>
    <col min="6657" max="6657" width="2.140625" style="831" customWidth="1"/>
    <col min="6658" max="6658" width="75.7109375" style="831" customWidth="1"/>
    <col min="6659" max="6659" width="3.28515625" style="831" customWidth="1"/>
    <col min="6660" max="6660" width="75.7109375" style="831" customWidth="1"/>
    <col min="6661" max="6912" width="11.42578125" style="831"/>
    <col min="6913" max="6913" width="2.140625" style="831" customWidth="1"/>
    <col min="6914" max="6914" width="75.7109375" style="831" customWidth="1"/>
    <col min="6915" max="6915" width="3.28515625" style="831" customWidth="1"/>
    <col min="6916" max="6916" width="75.7109375" style="831" customWidth="1"/>
    <col min="6917" max="7168" width="11.42578125" style="831"/>
    <col min="7169" max="7169" width="2.140625" style="831" customWidth="1"/>
    <col min="7170" max="7170" width="75.7109375" style="831" customWidth="1"/>
    <col min="7171" max="7171" width="3.28515625" style="831" customWidth="1"/>
    <col min="7172" max="7172" width="75.7109375" style="831" customWidth="1"/>
    <col min="7173" max="7424" width="11.42578125" style="831"/>
    <col min="7425" max="7425" width="2.140625" style="831" customWidth="1"/>
    <col min="7426" max="7426" width="75.7109375" style="831" customWidth="1"/>
    <col min="7427" max="7427" width="3.28515625" style="831" customWidth="1"/>
    <col min="7428" max="7428" width="75.7109375" style="831" customWidth="1"/>
    <col min="7429" max="7680" width="11.42578125" style="831"/>
    <col min="7681" max="7681" width="2.140625" style="831" customWidth="1"/>
    <col min="7682" max="7682" width="75.7109375" style="831" customWidth="1"/>
    <col min="7683" max="7683" width="3.28515625" style="831" customWidth="1"/>
    <col min="7684" max="7684" width="75.7109375" style="831" customWidth="1"/>
    <col min="7685" max="7936" width="11.42578125" style="831"/>
    <col min="7937" max="7937" width="2.140625" style="831" customWidth="1"/>
    <col min="7938" max="7938" width="75.7109375" style="831" customWidth="1"/>
    <col min="7939" max="7939" width="3.28515625" style="831" customWidth="1"/>
    <col min="7940" max="7940" width="75.7109375" style="831" customWidth="1"/>
    <col min="7941" max="8192" width="11.42578125" style="831"/>
    <col min="8193" max="8193" width="2.140625" style="831" customWidth="1"/>
    <col min="8194" max="8194" width="75.7109375" style="831" customWidth="1"/>
    <col min="8195" max="8195" width="3.28515625" style="831" customWidth="1"/>
    <col min="8196" max="8196" width="75.7109375" style="831" customWidth="1"/>
    <col min="8197" max="8448" width="11.42578125" style="831"/>
    <col min="8449" max="8449" width="2.140625" style="831" customWidth="1"/>
    <col min="8450" max="8450" width="75.7109375" style="831" customWidth="1"/>
    <col min="8451" max="8451" width="3.28515625" style="831" customWidth="1"/>
    <col min="8452" max="8452" width="75.7109375" style="831" customWidth="1"/>
    <col min="8453" max="8704" width="11.42578125" style="831"/>
    <col min="8705" max="8705" width="2.140625" style="831" customWidth="1"/>
    <col min="8706" max="8706" width="75.7109375" style="831" customWidth="1"/>
    <col min="8707" max="8707" width="3.28515625" style="831" customWidth="1"/>
    <col min="8708" max="8708" width="75.7109375" style="831" customWidth="1"/>
    <col min="8709" max="8960" width="11.42578125" style="831"/>
    <col min="8961" max="8961" width="2.140625" style="831" customWidth="1"/>
    <col min="8962" max="8962" width="75.7109375" style="831" customWidth="1"/>
    <col min="8963" max="8963" width="3.28515625" style="831" customWidth="1"/>
    <col min="8964" max="8964" width="75.7109375" style="831" customWidth="1"/>
    <col min="8965" max="9216" width="11.42578125" style="831"/>
    <col min="9217" max="9217" width="2.140625" style="831" customWidth="1"/>
    <col min="9218" max="9218" width="75.7109375" style="831" customWidth="1"/>
    <col min="9219" max="9219" width="3.28515625" style="831" customWidth="1"/>
    <col min="9220" max="9220" width="75.7109375" style="831" customWidth="1"/>
    <col min="9221" max="9472" width="11.42578125" style="831"/>
    <col min="9473" max="9473" width="2.140625" style="831" customWidth="1"/>
    <col min="9474" max="9474" width="75.7109375" style="831" customWidth="1"/>
    <col min="9475" max="9475" width="3.28515625" style="831" customWidth="1"/>
    <col min="9476" max="9476" width="75.7109375" style="831" customWidth="1"/>
    <col min="9477" max="9728" width="11.42578125" style="831"/>
    <col min="9729" max="9729" width="2.140625" style="831" customWidth="1"/>
    <col min="9730" max="9730" width="75.7109375" style="831" customWidth="1"/>
    <col min="9731" max="9731" width="3.28515625" style="831" customWidth="1"/>
    <col min="9732" max="9732" width="75.7109375" style="831" customWidth="1"/>
    <col min="9733" max="9984" width="11.42578125" style="831"/>
    <col min="9985" max="9985" width="2.140625" style="831" customWidth="1"/>
    <col min="9986" max="9986" width="75.7109375" style="831" customWidth="1"/>
    <col min="9987" max="9987" width="3.28515625" style="831" customWidth="1"/>
    <col min="9988" max="9988" width="75.7109375" style="831" customWidth="1"/>
    <col min="9989" max="10240" width="11.42578125" style="831"/>
    <col min="10241" max="10241" width="2.140625" style="831" customWidth="1"/>
    <col min="10242" max="10242" width="75.7109375" style="831" customWidth="1"/>
    <col min="10243" max="10243" width="3.28515625" style="831" customWidth="1"/>
    <col min="10244" max="10244" width="75.7109375" style="831" customWidth="1"/>
    <col min="10245" max="10496" width="11.42578125" style="831"/>
    <col min="10497" max="10497" width="2.140625" style="831" customWidth="1"/>
    <col min="10498" max="10498" width="75.7109375" style="831" customWidth="1"/>
    <col min="10499" max="10499" width="3.28515625" style="831" customWidth="1"/>
    <col min="10500" max="10500" width="75.7109375" style="831" customWidth="1"/>
    <col min="10501" max="10752" width="11.42578125" style="831"/>
    <col min="10753" max="10753" width="2.140625" style="831" customWidth="1"/>
    <col min="10754" max="10754" width="75.7109375" style="831" customWidth="1"/>
    <col min="10755" max="10755" width="3.28515625" style="831" customWidth="1"/>
    <col min="10756" max="10756" width="75.7109375" style="831" customWidth="1"/>
    <col min="10757" max="11008" width="11.42578125" style="831"/>
    <col min="11009" max="11009" width="2.140625" style="831" customWidth="1"/>
    <col min="11010" max="11010" width="75.7109375" style="831" customWidth="1"/>
    <col min="11011" max="11011" width="3.28515625" style="831" customWidth="1"/>
    <col min="11012" max="11012" width="75.7109375" style="831" customWidth="1"/>
    <col min="11013" max="11264" width="11.42578125" style="831"/>
    <col min="11265" max="11265" width="2.140625" style="831" customWidth="1"/>
    <col min="11266" max="11266" width="75.7109375" style="831" customWidth="1"/>
    <col min="11267" max="11267" width="3.28515625" style="831" customWidth="1"/>
    <col min="11268" max="11268" width="75.7109375" style="831" customWidth="1"/>
    <col min="11269" max="11520" width="11.42578125" style="831"/>
    <col min="11521" max="11521" width="2.140625" style="831" customWidth="1"/>
    <col min="11522" max="11522" width="75.7109375" style="831" customWidth="1"/>
    <col min="11523" max="11523" width="3.28515625" style="831" customWidth="1"/>
    <col min="11524" max="11524" width="75.7109375" style="831" customWidth="1"/>
    <col min="11525" max="11776" width="11.42578125" style="831"/>
    <col min="11777" max="11777" width="2.140625" style="831" customWidth="1"/>
    <col min="11778" max="11778" width="75.7109375" style="831" customWidth="1"/>
    <col min="11779" max="11779" width="3.28515625" style="831" customWidth="1"/>
    <col min="11780" max="11780" width="75.7109375" style="831" customWidth="1"/>
    <col min="11781" max="12032" width="11.42578125" style="831"/>
    <col min="12033" max="12033" width="2.140625" style="831" customWidth="1"/>
    <col min="12034" max="12034" width="75.7109375" style="831" customWidth="1"/>
    <col min="12035" max="12035" width="3.28515625" style="831" customWidth="1"/>
    <col min="12036" max="12036" width="75.7109375" style="831" customWidth="1"/>
    <col min="12037" max="12288" width="11.42578125" style="831"/>
    <col min="12289" max="12289" width="2.140625" style="831" customWidth="1"/>
    <col min="12290" max="12290" width="75.7109375" style="831" customWidth="1"/>
    <col min="12291" max="12291" width="3.28515625" style="831" customWidth="1"/>
    <col min="12292" max="12292" width="75.7109375" style="831" customWidth="1"/>
    <col min="12293" max="12544" width="11.42578125" style="831"/>
    <col min="12545" max="12545" width="2.140625" style="831" customWidth="1"/>
    <col min="12546" max="12546" width="75.7109375" style="831" customWidth="1"/>
    <col min="12547" max="12547" width="3.28515625" style="831" customWidth="1"/>
    <col min="12548" max="12548" width="75.7109375" style="831" customWidth="1"/>
    <col min="12549" max="12800" width="11.42578125" style="831"/>
    <col min="12801" max="12801" width="2.140625" style="831" customWidth="1"/>
    <col min="12802" max="12802" width="75.7109375" style="831" customWidth="1"/>
    <col min="12803" max="12803" width="3.28515625" style="831" customWidth="1"/>
    <col min="12804" max="12804" width="75.7109375" style="831" customWidth="1"/>
    <col min="12805" max="13056" width="11.42578125" style="831"/>
    <col min="13057" max="13057" width="2.140625" style="831" customWidth="1"/>
    <col min="13058" max="13058" width="75.7109375" style="831" customWidth="1"/>
    <col min="13059" max="13059" width="3.28515625" style="831" customWidth="1"/>
    <col min="13060" max="13060" width="75.7109375" style="831" customWidth="1"/>
    <col min="13061" max="13312" width="11.42578125" style="831"/>
    <col min="13313" max="13313" width="2.140625" style="831" customWidth="1"/>
    <col min="13314" max="13314" width="75.7109375" style="831" customWidth="1"/>
    <col min="13315" max="13315" width="3.28515625" style="831" customWidth="1"/>
    <col min="13316" max="13316" width="75.7109375" style="831" customWidth="1"/>
    <col min="13317" max="13568" width="11.42578125" style="831"/>
    <col min="13569" max="13569" width="2.140625" style="831" customWidth="1"/>
    <col min="13570" max="13570" width="75.7109375" style="831" customWidth="1"/>
    <col min="13571" max="13571" width="3.28515625" style="831" customWidth="1"/>
    <col min="13572" max="13572" width="75.7109375" style="831" customWidth="1"/>
    <col min="13573" max="13824" width="11.42578125" style="831"/>
    <col min="13825" max="13825" width="2.140625" style="831" customWidth="1"/>
    <col min="13826" max="13826" width="75.7109375" style="831" customWidth="1"/>
    <col min="13827" max="13827" width="3.28515625" style="831" customWidth="1"/>
    <col min="13828" max="13828" width="75.7109375" style="831" customWidth="1"/>
    <col min="13829" max="14080" width="11.42578125" style="831"/>
    <col min="14081" max="14081" width="2.140625" style="831" customWidth="1"/>
    <col min="14082" max="14082" width="75.7109375" style="831" customWidth="1"/>
    <col min="14083" max="14083" width="3.28515625" style="831" customWidth="1"/>
    <col min="14084" max="14084" width="75.7109375" style="831" customWidth="1"/>
    <col min="14085" max="14336" width="11.42578125" style="831"/>
    <col min="14337" max="14337" width="2.140625" style="831" customWidth="1"/>
    <col min="14338" max="14338" width="75.7109375" style="831" customWidth="1"/>
    <col min="14339" max="14339" width="3.28515625" style="831" customWidth="1"/>
    <col min="14340" max="14340" width="75.7109375" style="831" customWidth="1"/>
    <col min="14341" max="14592" width="11.42578125" style="831"/>
    <col min="14593" max="14593" width="2.140625" style="831" customWidth="1"/>
    <col min="14594" max="14594" width="75.7109375" style="831" customWidth="1"/>
    <col min="14595" max="14595" width="3.28515625" style="831" customWidth="1"/>
    <col min="14596" max="14596" width="75.7109375" style="831" customWidth="1"/>
    <col min="14597" max="14848" width="11.42578125" style="831"/>
    <col min="14849" max="14849" width="2.140625" style="831" customWidth="1"/>
    <col min="14850" max="14850" width="75.7109375" style="831" customWidth="1"/>
    <col min="14851" max="14851" width="3.28515625" style="831" customWidth="1"/>
    <col min="14852" max="14852" width="75.7109375" style="831" customWidth="1"/>
    <col min="14853" max="15104" width="11.42578125" style="831"/>
    <col min="15105" max="15105" width="2.140625" style="831" customWidth="1"/>
    <col min="15106" max="15106" width="75.7109375" style="831" customWidth="1"/>
    <col min="15107" max="15107" width="3.28515625" style="831" customWidth="1"/>
    <col min="15108" max="15108" width="75.7109375" style="831" customWidth="1"/>
    <col min="15109" max="15360" width="11.42578125" style="831"/>
    <col min="15361" max="15361" width="2.140625" style="831" customWidth="1"/>
    <col min="15362" max="15362" width="75.7109375" style="831" customWidth="1"/>
    <col min="15363" max="15363" width="3.28515625" style="831" customWidth="1"/>
    <col min="15364" max="15364" width="75.7109375" style="831" customWidth="1"/>
    <col min="15365" max="15616" width="11.42578125" style="831"/>
    <col min="15617" max="15617" width="2.140625" style="831" customWidth="1"/>
    <col min="15618" max="15618" width="75.7109375" style="831" customWidth="1"/>
    <col min="15619" max="15619" width="3.28515625" style="831" customWidth="1"/>
    <col min="15620" max="15620" width="75.7109375" style="831" customWidth="1"/>
    <col min="15621" max="15872" width="11.42578125" style="831"/>
    <col min="15873" max="15873" width="2.140625" style="831" customWidth="1"/>
    <col min="15874" max="15874" width="75.7109375" style="831" customWidth="1"/>
    <col min="15875" max="15875" width="3.28515625" style="831" customWidth="1"/>
    <col min="15876" max="15876" width="75.7109375" style="831" customWidth="1"/>
    <col min="15877" max="16128" width="11.42578125" style="831"/>
    <col min="16129" max="16129" width="2.140625" style="831" customWidth="1"/>
    <col min="16130" max="16130" width="75.7109375" style="831" customWidth="1"/>
    <col min="16131" max="16131" width="3.28515625" style="831" customWidth="1"/>
    <col min="16132" max="16132" width="75.7109375" style="831" customWidth="1"/>
    <col min="16133" max="16384" width="11.42578125" style="831"/>
  </cols>
  <sheetData>
    <row r="1" spans="2:4" ht="19.5" customHeight="1">
      <c r="B1" s="849" t="s">
        <v>1962</v>
      </c>
      <c r="C1" s="849"/>
      <c r="D1" s="849" t="s">
        <v>1962</v>
      </c>
    </row>
    <row r="2" spans="2:4" ht="53.25" customHeight="1">
      <c r="B2" s="1768" t="s">
        <v>1963</v>
      </c>
      <c r="C2" s="849"/>
      <c r="D2" s="1768" t="s">
        <v>1964</v>
      </c>
    </row>
    <row r="3" spans="2:4" ht="22.5" customHeight="1">
      <c r="B3" s="1769" t="s">
        <v>1965</v>
      </c>
      <c r="C3" s="849"/>
      <c r="D3" s="1769" t="s">
        <v>1966</v>
      </c>
    </row>
    <row r="4" spans="2:4" ht="37.5">
      <c r="B4" s="1770" t="s">
        <v>1967</v>
      </c>
      <c r="C4" s="849"/>
      <c r="D4" s="1771" t="s">
        <v>1968</v>
      </c>
    </row>
    <row r="5" spans="2:4" ht="37.5">
      <c r="B5" s="1770" t="s">
        <v>1969</v>
      </c>
      <c r="C5" s="849"/>
      <c r="D5" s="1770" t="s">
        <v>1970</v>
      </c>
    </row>
    <row r="6" spans="2:4" ht="75">
      <c r="B6" s="1770" t="s">
        <v>1971</v>
      </c>
      <c r="C6" s="849"/>
      <c r="D6" s="1770" t="s">
        <v>1972</v>
      </c>
    </row>
    <row r="7" spans="2:4" ht="63.75" customHeight="1">
      <c r="B7" s="1770" t="s">
        <v>1973</v>
      </c>
      <c r="C7" s="849"/>
      <c r="D7" s="1770" t="s">
        <v>1974</v>
      </c>
    </row>
    <row r="8" spans="2:4" ht="80.25" customHeight="1">
      <c r="B8" s="1770" t="s">
        <v>1975</v>
      </c>
      <c r="C8" s="849"/>
      <c r="D8" s="1770" t="s">
        <v>1976</v>
      </c>
    </row>
    <row r="9" spans="2:4" ht="90" customHeight="1">
      <c r="B9" s="1770" t="s">
        <v>1977</v>
      </c>
      <c r="C9" s="849"/>
      <c r="D9" s="1770" t="s">
        <v>1978</v>
      </c>
    </row>
    <row r="10" spans="2:4" ht="52.5" customHeight="1">
      <c r="B10" s="1770" t="s">
        <v>1979</v>
      </c>
      <c r="C10" s="849"/>
      <c r="D10" s="1770" t="s">
        <v>1980</v>
      </c>
    </row>
    <row r="11" spans="2:4" ht="27.75" customHeight="1">
      <c r="B11" s="1770" t="s">
        <v>1981</v>
      </c>
      <c r="C11" s="849"/>
      <c r="D11" s="1770" t="s">
        <v>1982</v>
      </c>
    </row>
    <row r="12" spans="2:4" ht="55.5" customHeight="1">
      <c r="B12" s="1770" t="s">
        <v>1983</v>
      </c>
      <c r="C12" s="849"/>
      <c r="D12" s="1770" t="s">
        <v>1984</v>
      </c>
    </row>
    <row r="13" spans="2:4" ht="56.25">
      <c r="B13" s="1770" t="s">
        <v>1985</v>
      </c>
      <c r="C13" s="849"/>
      <c r="D13" s="1771" t="s">
        <v>1986</v>
      </c>
    </row>
    <row r="14" spans="2:4" ht="37.5">
      <c r="B14" s="1770" t="s">
        <v>1987</v>
      </c>
      <c r="C14" s="849"/>
      <c r="D14" s="1770" t="s">
        <v>1988</v>
      </c>
    </row>
    <row r="15" spans="2:4" ht="65.25" customHeight="1">
      <c r="B15" s="1770" t="s">
        <v>1989</v>
      </c>
      <c r="C15" s="849"/>
      <c r="D15" s="1770" t="s">
        <v>1990</v>
      </c>
    </row>
    <row r="16" spans="2:4" ht="49.5" customHeight="1">
      <c r="B16" s="1770" t="s">
        <v>1991</v>
      </c>
      <c r="C16" s="849"/>
      <c r="D16" s="1770" t="s">
        <v>1992</v>
      </c>
    </row>
    <row r="17" spans="2:4" ht="75">
      <c r="B17" s="1772" t="s">
        <v>1993</v>
      </c>
      <c r="C17" s="849"/>
      <c r="D17" s="1770" t="s">
        <v>1994</v>
      </c>
    </row>
    <row r="18" spans="2:4" ht="56.25">
      <c r="B18" s="1770" t="s">
        <v>1995</v>
      </c>
      <c r="C18" s="849"/>
      <c r="D18" s="1770" t="s">
        <v>1996</v>
      </c>
    </row>
    <row r="19" spans="2:4" ht="37.5">
      <c r="B19" s="1770" t="s">
        <v>1997</v>
      </c>
      <c r="C19" s="849"/>
      <c r="D19" s="1770" t="s">
        <v>1998</v>
      </c>
    </row>
    <row r="20" spans="2:4" ht="56.25">
      <c r="B20" s="1770" t="s">
        <v>1999</v>
      </c>
      <c r="C20" s="849"/>
      <c r="D20" s="1770" t="s">
        <v>2000</v>
      </c>
    </row>
    <row r="21" spans="2:4" ht="56.25">
      <c r="B21" s="1770" t="s">
        <v>2001</v>
      </c>
      <c r="C21" s="849"/>
      <c r="D21" s="1770" t="s">
        <v>2002</v>
      </c>
    </row>
    <row r="22" spans="2:4" ht="55.5" customHeight="1">
      <c r="B22" s="1770" t="s">
        <v>2003</v>
      </c>
      <c r="C22" s="849"/>
      <c r="D22" s="1770" t="s">
        <v>2004</v>
      </c>
    </row>
    <row r="23" spans="2:4" ht="71.25" customHeight="1">
      <c r="B23" s="1770" t="s">
        <v>2005</v>
      </c>
      <c r="C23" s="849"/>
      <c r="D23" s="1770"/>
    </row>
    <row r="24" spans="2:4" ht="90" customHeight="1">
      <c r="B24" s="1770" t="s">
        <v>2006</v>
      </c>
      <c r="C24" s="849"/>
      <c r="D24" s="1770"/>
    </row>
    <row r="25" spans="2:4" ht="30.75" customHeight="1">
      <c r="B25" s="1770" t="s">
        <v>2007</v>
      </c>
      <c r="C25" s="849"/>
      <c r="D25" s="1770">
        <v>0</v>
      </c>
    </row>
    <row r="26" spans="2:4" ht="58.5" customHeight="1">
      <c r="B26" s="1770" t="s">
        <v>2008</v>
      </c>
      <c r="C26" s="849"/>
      <c r="D26" s="1770">
        <v>0</v>
      </c>
    </row>
    <row r="27" spans="2:4" ht="56.25">
      <c r="B27" s="1770" t="s">
        <v>2009</v>
      </c>
      <c r="C27" s="849"/>
      <c r="D27" s="1770">
        <v>0</v>
      </c>
    </row>
    <row r="28" spans="2:4" ht="45" customHeight="1"/>
    <row r="32" spans="2:4" ht="51" customHeight="1"/>
    <row r="35" ht="24" customHeight="1"/>
    <row r="36" ht="36" customHeight="1"/>
    <row r="37" ht="48.75" customHeight="1"/>
  </sheetData>
  <printOptions horizontalCentered="1"/>
  <pageMargins left="0.19685039370078741" right="0" top="0.19685039370078741" bottom="0" header="0" footer="0"/>
  <pageSetup paperSize="9" scale="32" orientation="landscape" horizontalDpi="360" verticalDpi="360" r:id="rId1"/>
  <headerFooter alignWithMargins="0">
    <oddFooter>&amp;R&amp;8&amp;F&amp;A-&amp;D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15"/>
  <sheetViews>
    <sheetView showZeros="0" zoomScale="115" zoomScaleNormal="115" workbookViewId="0">
      <selection activeCell="H11" sqref="H11"/>
    </sheetView>
  </sheetViews>
  <sheetFormatPr baseColWidth="10" defaultRowHeight="15"/>
  <cols>
    <col min="1" max="1" width="2" customWidth="1"/>
    <col min="2" max="2" width="8.7109375" customWidth="1"/>
    <col min="3" max="3" width="10.7109375" customWidth="1"/>
    <col min="4" max="4" width="17.28515625" customWidth="1"/>
    <col min="5" max="5" width="7.28515625" customWidth="1"/>
    <col min="6" max="6" width="16.7109375" customWidth="1"/>
    <col min="7" max="7" width="60.7109375" customWidth="1"/>
    <col min="8" max="8" width="12.7109375" customWidth="1"/>
    <col min="9" max="9" width="2" customWidth="1"/>
    <col min="10" max="10" width="9.7109375" customWidth="1"/>
    <col min="11" max="11" width="10.7109375" customWidth="1"/>
    <col min="12" max="12" width="16.7109375" customWidth="1"/>
    <col min="13" max="13" width="7.28515625" customWidth="1"/>
    <col min="14" max="14" width="16.7109375" customWidth="1"/>
    <col min="15" max="15" width="60.7109375" customWidth="1"/>
    <col min="16" max="16" width="12.7109375" customWidth="1"/>
    <col min="17" max="17" width="2.28515625" customWidth="1"/>
    <col min="18" max="18" width="17" customWidth="1"/>
    <col min="19" max="19" width="8.7109375" customWidth="1"/>
    <col min="20" max="20" width="10.7109375" customWidth="1"/>
    <col min="21" max="21" width="16.7109375" customWidth="1"/>
    <col min="22" max="22" width="60.7109375" customWidth="1"/>
    <col min="23" max="31" width="12.7109375" customWidth="1"/>
    <col min="32" max="32" width="33.85546875" customWidth="1"/>
    <col min="33" max="47" width="12.7109375" customWidth="1"/>
  </cols>
  <sheetData>
    <row r="1" spans="1:48" s="1340" customFormat="1" ht="18.95" customHeight="1">
      <c r="A1"/>
      <c r="B1" s="1337">
        <v>8</v>
      </c>
      <c r="C1" s="1337">
        <v>10</v>
      </c>
      <c r="D1" s="1337">
        <v>16</v>
      </c>
      <c r="E1" s="1337">
        <v>6.57</v>
      </c>
      <c r="F1" s="1337">
        <v>16</v>
      </c>
      <c r="G1" s="1337">
        <v>60</v>
      </c>
      <c r="H1" s="1337">
        <v>12</v>
      </c>
      <c r="I1" s="1337"/>
      <c r="J1" s="1337">
        <v>8</v>
      </c>
      <c r="K1" s="1337">
        <v>10</v>
      </c>
      <c r="L1" s="1337">
        <v>16</v>
      </c>
      <c r="M1" s="1337">
        <v>6.57</v>
      </c>
      <c r="N1" s="1337">
        <v>16</v>
      </c>
      <c r="O1" s="1337">
        <v>60</v>
      </c>
      <c r="P1" s="1337">
        <v>12</v>
      </c>
      <c r="Q1" s="1338">
        <v>1.57</v>
      </c>
      <c r="R1" s="1339" t="s">
        <v>740</v>
      </c>
      <c r="S1" s="52">
        <v>8</v>
      </c>
      <c r="T1" s="52">
        <v>10</v>
      </c>
      <c r="U1" s="52">
        <v>16</v>
      </c>
      <c r="V1" s="52">
        <v>60</v>
      </c>
      <c r="W1" s="52">
        <v>12</v>
      </c>
      <c r="X1" s="52">
        <v>12</v>
      </c>
      <c r="Y1" s="52">
        <v>12</v>
      </c>
      <c r="Z1" s="52">
        <v>12</v>
      </c>
      <c r="AA1" s="52">
        <v>12</v>
      </c>
      <c r="AB1" s="52">
        <v>12</v>
      </c>
      <c r="AC1" s="52">
        <v>12</v>
      </c>
      <c r="AD1" s="52">
        <v>12</v>
      </c>
      <c r="AE1" s="52">
        <v>12</v>
      </c>
      <c r="AF1" s="52"/>
      <c r="AG1" s="52"/>
      <c r="AH1" s="52"/>
      <c r="AI1" s="52"/>
      <c r="AJ1" s="52">
        <v>12</v>
      </c>
      <c r="AK1" s="52">
        <v>12</v>
      </c>
      <c r="AL1" s="52">
        <v>12</v>
      </c>
      <c r="AM1" s="52">
        <v>12</v>
      </c>
      <c r="AN1" s="52">
        <v>12</v>
      </c>
      <c r="AO1" s="52">
        <v>12</v>
      </c>
      <c r="AP1" s="52">
        <v>12</v>
      </c>
      <c r="AQ1" s="52">
        <v>12</v>
      </c>
      <c r="AR1" s="52">
        <v>12</v>
      </c>
      <c r="AS1" s="52">
        <v>12</v>
      </c>
      <c r="AT1" s="52">
        <v>12</v>
      </c>
      <c r="AU1" s="52">
        <v>12</v>
      </c>
      <c r="AV1" s="1340" t="s">
        <v>740</v>
      </c>
    </row>
    <row r="2" spans="1:48" ht="51.75" customHeight="1">
      <c r="B2" s="2475" t="s">
        <v>2223</v>
      </c>
      <c r="C2" s="2476"/>
      <c r="D2" s="2476"/>
      <c r="E2" s="2476"/>
      <c r="F2" s="2476"/>
      <c r="G2" s="2476"/>
      <c r="H2" s="2476"/>
      <c r="I2" s="2476"/>
      <c r="J2" s="2476"/>
      <c r="K2" s="2476"/>
      <c r="L2" s="2476"/>
      <c r="M2" s="2476"/>
      <c r="N2" s="2476"/>
      <c r="O2" s="2476"/>
      <c r="P2" s="2476"/>
      <c r="Q2" s="2476"/>
      <c r="R2" s="1340"/>
      <c r="S2" s="1342"/>
      <c r="T2" s="1342"/>
      <c r="U2" s="1342"/>
      <c r="V2" s="1342"/>
      <c r="W2" s="1342"/>
      <c r="X2" s="1342"/>
      <c r="Y2" s="1342"/>
      <c r="Z2" s="1342"/>
      <c r="AA2" s="1342"/>
      <c r="AB2" s="1342"/>
      <c r="AC2" s="1342"/>
      <c r="AD2" s="1342"/>
      <c r="AE2" s="1342"/>
      <c r="AF2" s="1342"/>
      <c r="AG2" s="1342"/>
      <c r="AI2" s="1027"/>
      <c r="AJ2" s="1027"/>
      <c r="AK2" s="1027"/>
      <c r="AL2" s="1027"/>
      <c r="AM2" s="1027"/>
      <c r="AN2" s="1027"/>
      <c r="AO2" s="1027"/>
      <c r="AP2" s="1027"/>
      <c r="AQ2" s="1027"/>
      <c r="AR2" s="1027"/>
      <c r="AS2" s="1027"/>
      <c r="AT2" s="1027"/>
      <c r="AU2" s="1027"/>
      <c r="AV2" s="1027"/>
    </row>
    <row r="3" spans="1:48" ht="42" customHeight="1">
      <c r="B3" s="2475" t="s">
        <v>2224</v>
      </c>
      <c r="C3" s="2476"/>
      <c r="D3" s="2476"/>
      <c r="E3" s="2476"/>
      <c r="F3" s="2476"/>
      <c r="G3" s="2476"/>
      <c r="H3" s="2476"/>
      <c r="I3" s="2476"/>
      <c r="J3" s="2476"/>
      <c r="K3" s="2476"/>
      <c r="L3" s="2476"/>
      <c r="M3" s="2476"/>
      <c r="N3" s="2476"/>
      <c r="O3" s="2476"/>
      <c r="P3" s="1931"/>
      <c r="Q3" s="1931"/>
      <c r="R3" s="1340"/>
      <c r="S3" s="1931"/>
      <c r="T3" s="1931"/>
      <c r="U3" s="1342"/>
      <c r="V3" s="1342"/>
      <c r="W3" s="1342"/>
      <c r="X3" s="1342"/>
      <c r="Y3" s="1342"/>
      <c r="Z3" s="1342"/>
      <c r="AA3" s="1342"/>
      <c r="AB3" s="1342"/>
      <c r="AC3" s="1342"/>
      <c r="AD3" s="1342"/>
      <c r="AE3" s="1342"/>
      <c r="AF3" s="1342"/>
      <c r="AG3" s="1342"/>
      <c r="AI3" s="1027"/>
      <c r="AJ3" s="1027"/>
      <c r="AK3" s="1027"/>
      <c r="AL3" s="1027"/>
      <c r="AM3" s="1027"/>
      <c r="AN3" s="1027"/>
      <c r="AO3" s="1027"/>
      <c r="AP3" s="1027"/>
      <c r="AQ3" s="1027"/>
      <c r="AR3" s="1027"/>
      <c r="AS3" s="1027"/>
      <c r="AT3" s="1027"/>
      <c r="AU3" s="1027"/>
      <c r="AV3" s="1027"/>
    </row>
    <row r="4" spans="1:48" ht="142.5" customHeight="1">
      <c r="B4" s="54"/>
      <c r="C4" s="54"/>
      <c r="D4" s="54"/>
      <c r="E4" s="54"/>
      <c r="F4" s="54"/>
      <c r="G4" s="54"/>
      <c r="H4" s="54"/>
      <c r="I4" s="54"/>
      <c r="J4" s="54"/>
      <c r="K4" s="54"/>
      <c r="L4" s="54"/>
      <c r="M4" s="54"/>
      <c r="N4" s="54"/>
      <c r="O4" s="54"/>
      <c r="P4" s="54"/>
      <c r="Q4" s="54"/>
      <c r="R4" s="1340"/>
    </row>
    <row r="5" spans="1:48" ht="30" customHeight="1">
      <c r="B5" s="1390" t="s">
        <v>1571</v>
      </c>
      <c r="C5" s="2357" t="s">
        <v>2225</v>
      </c>
      <c r="D5" s="2358"/>
      <c r="E5" s="2358"/>
      <c r="F5" s="2358"/>
      <c r="G5" s="2358"/>
      <c r="H5" s="54"/>
      <c r="I5" s="54"/>
      <c r="J5" s="54"/>
      <c r="K5" s="54"/>
      <c r="L5" s="54"/>
      <c r="M5" s="54"/>
      <c r="N5" s="54"/>
      <c r="O5" s="54"/>
      <c r="P5" s="54"/>
      <c r="Q5" s="54"/>
      <c r="R5" s="1340"/>
    </row>
    <row r="6" spans="1:48" ht="30" customHeight="1">
      <c r="C6" s="54"/>
      <c r="D6" s="54"/>
      <c r="E6" s="54"/>
      <c r="F6" s="54"/>
      <c r="G6" s="54"/>
      <c r="H6" s="54"/>
      <c r="I6" s="54"/>
      <c r="J6" s="54"/>
      <c r="K6" s="54"/>
      <c r="L6" s="54"/>
      <c r="M6" s="54"/>
      <c r="N6" s="54"/>
      <c r="O6" s="54"/>
      <c r="P6" s="54"/>
      <c r="Q6" s="54"/>
      <c r="R6" s="1340"/>
    </row>
    <row r="7" spans="1:48" ht="30" customHeight="1">
      <c r="B7" s="1390" t="s">
        <v>1571</v>
      </c>
      <c r="C7" s="2357" t="s">
        <v>2226</v>
      </c>
      <c r="D7" s="2357"/>
      <c r="E7" s="2357"/>
      <c r="F7" s="2357"/>
      <c r="G7" s="2357"/>
      <c r="H7" s="54"/>
      <c r="I7" s="54"/>
      <c r="J7" s="54"/>
      <c r="K7" s="54"/>
      <c r="L7" s="54"/>
      <c r="M7" s="54"/>
      <c r="N7" s="54"/>
      <c r="O7" s="54"/>
      <c r="P7" s="54"/>
      <c r="Q7" s="54"/>
      <c r="R7" s="1340"/>
    </row>
    <row r="8" spans="1:48" ht="30" customHeight="1">
      <c r="C8" s="54"/>
      <c r="D8" s="54"/>
      <c r="E8" s="54"/>
      <c r="F8" s="54"/>
      <c r="G8" s="54"/>
      <c r="H8" s="54"/>
      <c r="I8" s="54"/>
      <c r="J8" s="54"/>
      <c r="K8" s="54"/>
      <c r="L8" s="54"/>
      <c r="M8" s="54"/>
      <c r="N8" s="54"/>
      <c r="O8" s="54"/>
      <c r="P8" s="54"/>
      <c r="Q8" s="54"/>
      <c r="R8" s="1340"/>
    </row>
    <row r="9" spans="1:48" ht="30" customHeight="1">
      <c r="B9" s="1390" t="s">
        <v>1571</v>
      </c>
      <c r="C9" s="2357" t="s">
        <v>2227</v>
      </c>
      <c r="D9" s="2358"/>
      <c r="E9" s="2358"/>
      <c r="F9" s="2358"/>
      <c r="G9" s="2358"/>
      <c r="H9" s="54"/>
      <c r="I9" s="54"/>
      <c r="J9" s="54"/>
      <c r="K9" s="54"/>
      <c r="L9" s="54"/>
      <c r="M9" s="54"/>
      <c r="N9" s="54"/>
      <c r="O9" s="54"/>
      <c r="P9" s="54"/>
      <c r="Q9" s="54"/>
      <c r="R9" s="1340"/>
    </row>
    <row r="10" spans="1:48" ht="30" customHeight="1">
      <c r="B10" s="1972"/>
      <c r="C10" s="1972"/>
      <c r="D10" s="1973"/>
      <c r="E10" s="1973"/>
      <c r="F10" s="1973"/>
      <c r="G10" s="1973"/>
      <c r="H10" s="54"/>
      <c r="I10" s="54"/>
      <c r="J10" s="54"/>
      <c r="K10" s="54"/>
      <c r="L10" s="54"/>
      <c r="M10" s="54"/>
      <c r="N10" s="54"/>
      <c r="O10" s="54"/>
      <c r="P10" s="54"/>
      <c r="Q10" s="54"/>
      <c r="R10" s="1340"/>
    </row>
    <row r="11" spans="1:48" ht="30" customHeight="1">
      <c r="B11" s="1390" t="s">
        <v>1571</v>
      </c>
      <c r="C11" s="2357" t="s">
        <v>2283</v>
      </c>
      <c r="D11" s="2357"/>
      <c r="E11" s="2357"/>
      <c r="F11" s="2357"/>
      <c r="G11" s="2357"/>
      <c r="H11" s="54"/>
      <c r="I11" s="54"/>
      <c r="J11" s="54"/>
      <c r="K11" s="54"/>
      <c r="L11" s="54"/>
      <c r="M11" s="54"/>
      <c r="N11" s="54"/>
      <c r="O11" s="54"/>
      <c r="P11" s="54"/>
      <c r="Q11" s="54"/>
      <c r="R11" s="1340"/>
    </row>
    <row r="12" spans="1:48" ht="18.95" customHeight="1" thickBot="1">
      <c r="A12" s="55"/>
      <c r="B12" s="52"/>
      <c r="C12" s="1145"/>
      <c r="D12" s="1145"/>
      <c r="E12" s="1145"/>
      <c r="F12" s="1145"/>
      <c r="G12" s="1145"/>
      <c r="H12" s="1145"/>
      <c r="I12" s="1145"/>
      <c r="J12" s="1145"/>
      <c r="K12" s="1145"/>
      <c r="L12" s="1145"/>
      <c r="M12" s="1145"/>
      <c r="N12" s="1145"/>
      <c r="O12" s="1146"/>
      <c r="P12" s="1145"/>
      <c r="Q12" s="1145"/>
      <c r="R12" s="1340"/>
    </row>
    <row r="13" spans="1:48" ht="26.25" customHeight="1" thickBot="1">
      <c r="A13" s="50" t="s">
        <v>742</v>
      </c>
      <c r="B13" s="2477" t="s">
        <v>2213</v>
      </c>
      <c r="C13" s="2478"/>
      <c r="D13" s="2478"/>
      <c r="E13" s="2478"/>
      <c r="F13" s="2478"/>
      <c r="G13" s="2478"/>
      <c r="H13" s="2478"/>
      <c r="I13" s="2478"/>
      <c r="J13" s="2478"/>
      <c r="K13" s="2478"/>
      <c r="L13" s="2478"/>
      <c r="M13" s="2478"/>
      <c r="N13" s="2478"/>
      <c r="O13" s="2478"/>
      <c r="P13" s="2478"/>
      <c r="Q13" s="2479"/>
      <c r="S13" s="2480" t="s">
        <v>1596</v>
      </c>
      <c r="T13" s="2481"/>
      <c r="U13" s="2481"/>
      <c r="V13" s="2481"/>
      <c r="W13" s="2481"/>
      <c r="X13" s="2452" t="s">
        <v>1595</v>
      </c>
      <c r="Y13" s="2452"/>
      <c r="Z13" s="2452"/>
      <c r="AA13" s="2452"/>
      <c r="AB13" s="2452"/>
      <c r="AC13" s="2452"/>
      <c r="AD13" s="2452"/>
      <c r="AE13" s="2482"/>
      <c r="AG13" s="1115"/>
      <c r="AH13" s="729"/>
      <c r="AI13" s="729"/>
      <c r="AJ13" s="729"/>
      <c r="AK13" s="729"/>
      <c r="AL13" s="729"/>
      <c r="AM13" s="729"/>
      <c r="AN13" s="729"/>
      <c r="AO13" s="729"/>
      <c r="AP13" s="729"/>
      <c r="AQ13" s="729"/>
      <c r="AR13" s="729"/>
      <c r="AS13" s="729"/>
      <c r="AT13" s="729"/>
      <c r="AU13" s="729"/>
    </row>
    <row r="14" spans="1:48" ht="28.5" customHeight="1">
      <c r="A14" s="49" t="s">
        <v>819</v>
      </c>
      <c r="B14" s="2483" t="str">
        <f>T14</f>
        <v>BOUDIN BLANC MAISON AUX MORILLES</v>
      </c>
      <c r="C14" s="2484"/>
      <c r="D14" s="2484"/>
      <c r="E14" s="2484"/>
      <c r="F14" s="2484"/>
      <c r="G14" s="2484"/>
      <c r="H14" s="654" t="str">
        <f>W14</f>
        <v>N°1</v>
      </c>
      <c r="I14" s="1467" t="s">
        <v>819</v>
      </c>
      <c r="J14" s="2485" t="str">
        <f>T14</f>
        <v>BOUDIN BLANC MAISON AUX MORILLES</v>
      </c>
      <c r="K14" s="2486"/>
      <c r="L14" s="2486"/>
      <c r="M14" s="2486"/>
      <c r="N14" s="2486"/>
      <c r="O14" s="2486"/>
      <c r="P14" s="654" t="str">
        <f>W14</f>
        <v>N°1</v>
      </c>
      <c r="Q14" s="1343" t="s">
        <v>818</v>
      </c>
      <c r="S14" s="1582" t="s">
        <v>75</v>
      </c>
      <c r="T14" s="2487" t="s">
        <v>2222</v>
      </c>
      <c r="U14" s="2487"/>
      <c r="V14" s="2487"/>
      <c r="W14" s="1583" t="s">
        <v>74</v>
      </c>
      <c r="X14" s="784"/>
      <c r="Y14" s="784"/>
      <c r="Z14" s="784"/>
      <c r="AA14" s="784"/>
      <c r="AB14" s="1943" t="str">
        <f>LEFT(ADDRESS(1,COLUMN(),4),LEN(ADDRESS(1,COLUMN(),4))-1)</f>
        <v>AB</v>
      </c>
      <c r="AC14" s="784"/>
      <c r="AD14" s="784"/>
      <c r="AE14" s="1114"/>
      <c r="AG14" s="2451" t="s">
        <v>735</v>
      </c>
      <c r="AH14" s="2452"/>
      <c r="AI14" s="2452"/>
      <c r="AJ14" s="2452"/>
      <c r="AK14" s="2452"/>
      <c r="AL14" s="2452"/>
      <c r="AM14" s="2452"/>
      <c r="AN14" s="2452"/>
      <c r="AO14" s="2452"/>
      <c r="AP14" s="2452"/>
      <c r="AQ14" s="2452"/>
      <c r="AR14" s="2452"/>
      <c r="AS14" s="2452"/>
      <c r="AT14" s="2452"/>
      <c r="AU14" s="2452"/>
    </row>
    <row r="15" spans="1:48" ht="18" customHeight="1">
      <c r="A15" s="2453"/>
      <c r="B15" s="1575" t="s">
        <v>73</v>
      </c>
      <c r="C15" s="48" t="str">
        <f>T15</f>
        <v>Blog MAMINA et si c'était bon</v>
      </c>
      <c r="D15" s="47"/>
      <c r="E15" s="47"/>
      <c r="F15" s="47"/>
      <c r="G15" s="47"/>
      <c r="H15" s="1409"/>
      <c r="I15" s="2454"/>
      <c r="J15" s="44" t="s">
        <v>73</v>
      </c>
      <c r="K15" s="48" t="str">
        <f>T15</f>
        <v>Blog MAMINA et si c'était bon</v>
      </c>
      <c r="L15" s="47"/>
      <c r="M15" s="47"/>
      <c r="N15" s="47"/>
      <c r="O15" s="47"/>
      <c r="P15" s="47"/>
      <c r="Q15" s="2455"/>
      <c r="S15" s="1584" t="s">
        <v>72</v>
      </c>
      <c r="T15" s="2456" t="s">
        <v>2245</v>
      </c>
      <c r="U15" s="2456"/>
      <c r="V15" s="2456"/>
      <c r="W15" s="2457"/>
      <c r="X15" s="2458" t="s">
        <v>736</v>
      </c>
      <c r="Y15" s="2459"/>
      <c r="Z15" s="2459"/>
      <c r="AA15" s="2459"/>
      <c r="AB15" s="2459"/>
      <c r="AC15" s="2459"/>
      <c r="AD15" s="2459"/>
      <c r="AE15" s="2460"/>
      <c r="AG15" s="2461" t="s">
        <v>736</v>
      </c>
      <c r="AH15" s="2462"/>
      <c r="AI15" s="2462"/>
      <c r="AJ15" s="2462"/>
      <c r="AK15" s="2462"/>
      <c r="AL15" s="2462"/>
      <c r="AM15" s="2462"/>
      <c r="AN15" s="2462"/>
      <c r="AO15" s="2462"/>
      <c r="AP15" s="2462"/>
      <c r="AQ15" s="2462"/>
      <c r="AR15" s="2462"/>
      <c r="AS15" s="2462"/>
      <c r="AT15" s="2462"/>
      <c r="AU15" s="2462"/>
    </row>
    <row r="16" spans="1:48" ht="18" customHeight="1" thickBot="1">
      <c r="A16" s="2453"/>
      <c r="B16" s="1575" t="str">
        <f>S16</f>
        <v>❸ Constituant de quelle recette ?</v>
      </c>
      <c r="C16" s="46"/>
      <c r="D16" s="46"/>
      <c r="E16" s="46" t="str">
        <f>V16</f>
        <v>? une pâtisserie est souvent composée de recettes filles  attachées à une recette Mère</v>
      </c>
      <c r="F16" s="44"/>
      <c r="G16" s="54"/>
      <c r="H16" s="1409" t="s">
        <v>1716</v>
      </c>
      <c r="I16" s="2454"/>
      <c r="J16" s="44" t="str">
        <f>S16</f>
        <v>❸ Constituant de quelle recette ?</v>
      </c>
      <c r="K16" s="44"/>
      <c r="L16" s="44"/>
      <c r="M16" s="44"/>
      <c r="N16" s="44"/>
      <c r="O16" s="2463" t="str">
        <f>V16</f>
        <v>? une pâtisserie est souvent composée de recettes filles  attachées à une recette Mère</v>
      </c>
      <c r="P16" s="2463"/>
      <c r="Q16" s="2455"/>
      <c r="S16" s="1585" t="s">
        <v>71</v>
      </c>
      <c r="T16" s="342"/>
      <c r="U16" s="342"/>
      <c r="V16" s="2464" t="s">
        <v>684</v>
      </c>
      <c r="W16" s="2465"/>
      <c r="X16" s="2458"/>
      <c r="Y16" s="2459"/>
      <c r="Z16" s="2459"/>
      <c r="AA16" s="2459"/>
      <c r="AB16" s="2459"/>
      <c r="AC16" s="2459"/>
      <c r="AD16" s="2459"/>
      <c r="AE16" s="2460"/>
      <c r="AG16" s="2461"/>
      <c r="AH16" s="2462"/>
      <c r="AI16" s="2462"/>
      <c r="AJ16" s="2462"/>
      <c r="AK16" s="2462"/>
      <c r="AL16" s="2462"/>
      <c r="AM16" s="2462"/>
      <c r="AN16" s="2462"/>
      <c r="AO16" s="2462"/>
      <c r="AP16" s="2462"/>
      <c r="AQ16" s="2462"/>
      <c r="AR16" s="2462"/>
      <c r="AS16" s="2462"/>
      <c r="AT16" s="2462"/>
      <c r="AU16" s="2462"/>
    </row>
    <row r="17" spans="1:47" ht="18" customHeight="1">
      <c r="A17" s="2453"/>
      <c r="B17" s="2466" t="s">
        <v>1717</v>
      </c>
      <c r="C17" s="2467"/>
      <c r="D17" s="2471">
        <v>6</v>
      </c>
      <c r="E17" s="1410" t="s">
        <v>84</v>
      </c>
      <c r="F17" s="1411">
        <f>P19</f>
        <v>1400</v>
      </c>
      <c r="G17" s="54"/>
      <c r="H17" s="1412">
        <f>D20/D17</f>
        <v>141.92499999999998</v>
      </c>
      <c r="I17" s="2454"/>
      <c r="J17" s="2473">
        <v>140</v>
      </c>
      <c r="K17" s="2393" t="s">
        <v>1694</v>
      </c>
      <c r="L17" s="2393"/>
      <c r="M17" s="1944"/>
      <c r="N17" s="1944"/>
      <c r="O17" s="2443" t="str">
        <f>IF(D19=1,"avec le poids BRUT de la recette vous pourriez faire : Nb de portions &gt;","avec le poids NET de la recette vous pourriez faire : Nb de portions &gt;")</f>
        <v>avec le poids BRUT de la recette vous pourriez faire : Nb de portions &gt;</v>
      </c>
      <c r="P17" s="2445">
        <f>IF(F20&gt;0,(F20/J17),(D20/J17))</f>
        <v>6.0824999999999996</v>
      </c>
      <c r="Q17" s="2455"/>
      <c r="S17" s="1574"/>
      <c r="T17" s="42"/>
      <c r="U17" s="42"/>
      <c r="V17" s="1946"/>
      <c r="W17" s="1055"/>
      <c r="X17" s="2447" t="s">
        <v>574</v>
      </c>
      <c r="Y17" s="2447"/>
      <c r="Z17" s="2448"/>
      <c r="AA17" s="2426" t="s">
        <v>817</v>
      </c>
      <c r="AB17" s="2427" t="str">
        <f>IF(AB20&gt;0,"vous avez saisi un % de perte pour TOUTE LA RECETTE colonne Z",IF(AB55&gt;0,"Vous avez saisi des pourcentages de PERTES par produit colonne Z","Vous pouvez saisir un % de perte pour chaque PRODUIT ou pour la recette colonne Z"))</f>
        <v>Vous pouvez saisir un % de perte pour chaque PRODUIT ou pour la recette colonne Z</v>
      </c>
      <c r="AC17" s="2427"/>
      <c r="AD17" s="2427"/>
      <c r="AE17" s="2428"/>
      <c r="AG17" s="1413">
        <f>AG56/AI20</f>
        <v>141.92499999999998</v>
      </c>
      <c r="AH17" s="1414" t="s">
        <v>1718</v>
      </c>
      <c r="AI17" s="1414"/>
      <c r="AJ17" s="1413">
        <f>AJ56/AM20</f>
        <v>141.92499999999998</v>
      </c>
      <c r="AK17" s="646">
        <f>AK56/AM20</f>
        <v>141.92499999999998</v>
      </c>
      <c r="AL17" s="1414" t="s">
        <v>1718</v>
      </c>
      <c r="AM17" s="346"/>
      <c r="AN17" s="1415">
        <f>AN56/AQ20</f>
        <v>141.92499999999998</v>
      </c>
      <c r="AO17" s="715">
        <f>AO56/AQ20</f>
        <v>141.92499999999998</v>
      </c>
      <c r="AP17" s="1414" t="s">
        <v>1718</v>
      </c>
      <c r="AQ17" s="1416"/>
      <c r="AR17" s="600"/>
      <c r="AS17" s="600"/>
      <c r="AT17" s="600"/>
      <c r="AU17" s="600"/>
    </row>
    <row r="18" spans="1:47" ht="18" customHeight="1" thickBot="1">
      <c r="A18" s="2453"/>
      <c r="B18" s="1446">
        <f>W20</f>
        <v>6</v>
      </c>
      <c r="C18" s="1447" t="s">
        <v>84</v>
      </c>
      <c r="D18" s="2472"/>
      <c r="E18" s="1417" t="s">
        <v>1719</v>
      </c>
      <c r="F18" s="1418">
        <f>P20</f>
        <v>9.8643649815043162</v>
      </c>
      <c r="G18" s="726"/>
      <c r="H18" s="1409" t="s">
        <v>1720</v>
      </c>
      <c r="I18" s="2454"/>
      <c r="J18" s="2474"/>
      <c r="K18" s="2394"/>
      <c r="L18" s="2394"/>
      <c r="M18" s="1941"/>
      <c r="N18" s="1941"/>
      <c r="O18" s="2444"/>
      <c r="P18" s="2446"/>
      <c r="Q18" s="2455"/>
      <c r="S18" s="609" t="s">
        <v>106</v>
      </c>
      <c r="T18" s="608" t="str">
        <f>AB17</f>
        <v>Vous pouvez saisir un % de perte pour chaque PRODUIT ou pour la recette colonne Z</v>
      </c>
      <c r="U18" s="42"/>
      <c r="V18" s="1946"/>
      <c r="W18" s="1055"/>
      <c r="X18" s="2447"/>
      <c r="Y18" s="2447"/>
      <c r="Z18" s="2448"/>
      <c r="AA18" s="2426"/>
      <c r="AB18" s="2427"/>
      <c r="AC18" s="2427"/>
      <c r="AD18" s="2427"/>
      <c r="AE18" s="2428"/>
      <c r="AG18" s="2468" t="s">
        <v>1721</v>
      </c>
      <c r="AH18" s="2469"/>
      <c r="AI18" s="2470"/>
      <c r="AJ18" s="2469" t="s">
        <v>697</v>
      </c>
      <c r="AK18" s="2469"/>
      <c r="AL18" s="2469"/>
      <c r="AM18" s="2469"/>
      <c r="AN18" s="2468" t="s">
        <v>698</v>
      </c>
      <c r="AO18" s="2469"/>
      <c r="AP18" s="2469"/>
      <c r="AQ18" s="2470"/>
      <c r="AR18" s="2469" t="s">
        <v>586</v>
      </c>
      <c r="AS18" s="2469"/>
      <c r="AT18" s="2469"/>
      <c r="AU18" s="2469"/>
    </row>
    <row r="19" spans="1:47" ht="18" customHeight="1">
      <c r="A19" s="2453"/>
      <c r="B19" s="1588"/>
      <c r="C19" s="614" t="s">
        <v>1567</v>
      </c>
      <c r="D19" s="612">
        <v>1</v>
      </c>
      <c r="E19" s="642" t="str">
        <f>IF(D19=1,AG18,IF(D19=2,AJ18,IF(D19=3,AN18,IF(D19&gt;3,"LE N° DE CHOIX S'ARRETE AU N° 3"))))</f>
        <v>1 = RECETTE DE L'AUTEUR AVEC VOTRE EFFECTIF</v>
      </c>
      <c r="F19" s="643"/>
      <c r="G19" s="643"/>
      <c r="H19" s="1412">
        <f>IF(F20=0,0,H17*(D20/F20))</f>
        <v>0</v>
      </c>
      <c r="I19" s="2454"/>
      <c r="J19" s="1419">
        <v>10</v>
      </c>
      <c r="K19" s="1346" t="s">
        <v>1697</v>
      </c>
      <c r="L19" s="1347"/>
      <c r="M19" s="1347"/>
      <c r="N19" s="1347"/>
      <c r="O19" s="1420" t="s">
        <v>84</v>
      </c>
      <c r="P19" s="1421">
        <f>J20*J19</f>
        <v>1400</v>
      </c>
      <c r="Q19" s="2455"/>
      <c r="S19" s="1569"/>
      <c r="T19" s="36" t="s">
        <v>1</v>
      </c>
      <c r="U19" s="37">
        <v>15</v>
      </c>
      <c r="V19" s="36" t="s">
        <v>0</v>
      </c>
      <c r="W19" s="1106">
        <v>15</v>
      </c>
      <c r="X19" s="2447"/>
      <c r="Y19" s="2447"/>
      <c r="Z19" s="2448"/>
      <c r="AA19" s="2426"/>
      <c r="AB19" s="2427"/>
      <c r="AC19" s="2427"/>
      <c r="AD19" s="2427"/>
      <c r="AE19" s="2428"/>
      <c r="AG19" s="2468"/>
      <c r="AH19" s="2469"/>
      <c r="AI19" s="2470"/>
      <c r="AJ19" s="2468"/>
      <c r="AK19" s="2469"/>
      <c r="AL19" s="2469"/>
      <c r="AM19" s="2469"/>
      <c r="AN19" s="2468"/>
      <c r="AO19" s="2469"/>
      <c r="AP19" s="2469"/>
      <c r="AQ19" s="2470"/>
      <c r="AR19" s="2469"/>
      <c r="AS19" s="2469"/>
      <c r="AT19" s="2469"/>
      <c r="AU19" s="2469"/>
    </row>
    <row r="20" spans="1:47" ht="30" customHeight="1">
      <c r="A20" s="2453"/>
      <c r="B20" s="639"/>
      <c r="C20" s="639" t="str">
        <f>IF(D19=1,"CHOIX N° 1",IF(D19=2,"CHOIX N° 2",IF(D19=3,"CHOIX N° 3","QUEL CHOIX?")))</f>
        <v>CHOIX N° 1</v>
      </c>
      <c r="D20" s="637">
        <f>D56</f>
        <v>851.55</v>
      </c>
      <c r="E20" s="2383" t="s">
        <v>52</v>
      </c>
      <c r="F20" s="637">
        <f>F56</f>
        <v>0</v>
      </c>
      <c r="G20" s="1589" t="s">
        <v>1568</v>
      </c>
      <c r="I20" s="2454"/>
      <c r="J20" s="1422">
        <v>140</v>
      </c>
      <c r="K20" s="1080" t="s">
        <v>1722</v>
      </c>
      <c r="L20" s="1081"/>
      <c r="M20" s="1081"/>
      <c r="N20" s="1423"/>
      <c r="O20" s="1424" t="s">
        <v>1723</v>
      </c>
      <c r="P20" s="1425">
        <f>P19/W21</f>
        <v>9.8643649815043162</v>
      </c>
      <c r="Q20" s="2455"/>
      <c r="S20" s="1565" t="s">
        <v>1562</v>
      </c>
      <c r="T20" s="30"/>
      <c r="U20" s="30"/>
      <c r="V20" s="343" t="s">
        <v>439</v>
      </c>
      <c r="W20" s="1426">
        <v>6</v>
      </c>
      <c r="X20" s="2449">
        <v>1000</v>
      </c>
      <c r="Y20" s="2449"/>
      <c r="Z20" s="2450"/>
      <c r="AA20" s="2426"/>
      <c r="AB20" s="629"/>
      <c r="AC20" s="1349" t="s">
        <v>1575</v>
      </c>
      <c r="AD20" s="1350"/>
      <c r="AE20" s="1351"/>
      <c r="AG20" s="601"/>
      <c r="AH20" s="603" t="s">
        <v>1724</v>
      </c>
      <c r="AI20" s="1427">
        <f>D17</f>
        <v>6</v>
      </c>
      <c r="AJ20" s="601"/>
      <c r="AK20" s="602"/>
      <c r="AL20" s="603" t="s">
        <v>1725</v>
      </c>
      <c r="AM20" s="1427">
        <f>D17</f>
        <v>6</v>
      </c>
      <c r="AN20" s="617"/>
      <c r="AO20" s="603"/>
      <c r="AP20" s="603" t="s">
        <v>1726</v>
      </c>
      <c r="AQ20" s="1428">
        <f>D17</f>
        <v>6</v>
      </c>
      <c r="AR20" s="602"/>
      <c r="AS20" s="593">
        <f>SUM(AS22:AS51)</f>
        <v>0</v>
      </c>
      <c r="AT20" s="615"/>
      <c r="AU20" s="616"/>
    </row>
    <row r="21" spans="1:47" ht="36.75" customHeight="1">
      <c r="A21" s="2453"/>
      <c r="B21" s="1442" t="s">
        <v>61</v>
      </c>
      <c r="C21" s="1443" t="s">
        <v>60</v>
      </c>
      <c r="D21" s="1443" t="s">
        <v>577</v>
      </c>
      <c r="E21" s="2383"/>
      <c r="F21" s="1444" t="s">
        <v>576</v>
      </c>
      <c r="G21" s="1286" t="s">
        <v>65</v>
      </c>
      <c r="H21" s="1352" t="s">
        <v>64</v>
      </c>
      <c r="I21" s="2454"/>
      <c r="J21" s="1353"/>
      <c r="K21" s="1354" t="s">
        <v>1</v>
      </c>
      <c r="L21" s="1355">
        <f>U19</f>
        <v>15</v>
      </c>
      <c r="M21" s="1355"/>
      <c r="N21" s="1355"/>
      <c r="O21" s="1356" t="s">
        <v>0</v>
      </c>
      <c r="P21" s="1355">
        <f>W19</f>
        <v>15</v>
      </c>
      <c r="Q21" s="2455"/>
      <c r="R21" s="1357" t="s">
        <v>1487</v>
      </c>
      <c r="S21" s="1358" t="s">
        <v>61</v>
      </c>
      <c r="T21" s="1359" t="s">
        <v>60</v>
      </c>
      <c r="U21" s="1360" t="s">
        <v>63</v>
      </c>
      <c r="V21" s="1361" t="s">
        <v>62</v>
      </c>
      <c r="W21" s="1950">
        <f>W55/W20</f>
        <v>141.92499999999998</v>
      </c>
      <c r="X21" s="622" t="s">
        <v>490</v>
      </c>
      <c r="Y21" s="622" t="s">
        <v>61</v>
      </c>
      <c r="Z21" s="620" t="s">
        <v>60</v>
      </c>
      <c r="AA21" s="1060"/>
      <c r="AB21" s="718" t="s">
        <v>1565</v>
      </c>
      <c r="AC21" s="718" t="s">
        <v>702</v>
      </c>
      <c r="AD21" s="622" t="s">
        <v>703</v>
      </c>
      <c r="AE21" s="620" t="s">
        <v>474</v>
      </c>
      <c r="AF21" s="1357" t="s">
        <v>1487</v>
      </c>
      <c r="AG21" s="619" t="s">
        <v>577</v>
      </c>
      <c r="AH21" s="622" t="s">
        <v>61</v>
      </c>
      <c r="AI21" s="622" t="s">
        <v>60</v>
      </c>
      <c r="AJ21" s="619" t="s">
        <v>576</v>
      </c>
      <c r="AK21" s="645" t="s">
        <v>577</v>
      </c>
      <c r="AL21" s="622" t="s">
        <v>61</v>
      </c>
      <c r="AM21" s="620" t="s">
        <v>60</v>
      </c>
      <c r="AN21" s="645" t="s">
        <v>576</v>
      </c>
      <c r="AO21" s="622" t="s">
        <v>577</v>
      </c>
      <c r="AP21" s="622" t="s">
        <v>61</v>
      </c>
      <c r="AQ21" s="620" t="s">
        <v>60</v>
      </c>
      <c r="AR21" s="619" t="s">
        <v>576</v>
      </c>
      <c r="AS21" s="622" t="s">
        <v>577</v>
      </c>
      <c r="AT21" s="622" t="s">
        <v>61</v>
      </c>
      <c r="AU21" s="622" t="s">
        <v>60</v>
      </c>
    </row>
    <row r="22" spans="1:47" ht="18.95" customHeight="1">
      <c r="A22" s="2453"/>
      <c r="B22" s="1967">
        <f>IF(D19=1,AH22,IF(D19=2,AL22,IF(D19=3,AP22,IF(D19=4,AT22))))</f>
        <v>0</v>
      </c>
      <c r="C22" s="1438">
        <f>IF(D19=1,AI22,IF(D19=2,AM22,IF(D19=3,AQ22,IF(D19=4,AU22))))</f>
        <v>0</v>
      </c>
      <c r="D22" s="1951">
        <f>IF(D19=1,AG22,IF(D19=2,AK22,IF(D19=3,AO22,IF(D19=4,AS22))))</f>
        <v>600</v>
      </c>
      <c r="E22" s="1440" t="str">
        <f>IF(D19=1,"",IF(D22=F22,"",AD22))</f>
        <v/>
      </c>
      <c r="F22" s="1952" t="str">
        <f>IF(D19=1,"",IF(D19=2,AJ22,IF(D19=3,AN22,IF(D19=4,AR22))))</f>
        <v/>
      </c>
      <c r="G22" s="22" t="str">
        <f t="shared" ref="G22:G54" si="0">V22</f>
        <v xml:space="preserve"> 600 g de blancs de poulet</v>
      </c>
      <c r="H22" s="1074">
        <f>W55</f>
        <v>851.55</v>
      </c>
      <c r="I22" s="2454"/>
      <c r="J22" s="1280" t="s">
        <v>68</v>
      </c>
      <c r="K22" s="33"/>
      <c r="L22" s="32"/>
      <c r="M22" s="32"/>
      <c r="N22" s="32"/>
      <c r="O22" s="15">
        <f>J19*O24</f>
        <v>0</v>
      </c>
      <c r="P22" s="15"/>
      <c r="Q22" s="2455"/>
      <c r="S22" s="1953"/>
      <c r="T22" s="1282"/>
      <c r="U22" s="1284">
        <v>600</v>
      </c>
      <c r="V22" s="19" t="s">
        <v>2228</v>
      </c>
      <c r="W22" s="626">
        <f t="shared" ref="W22:W54" si="1">IF(ISBLANK(S22),U22,(U22*S22))</f>
        <v>600</v>
      </c>
      <c r="X22" s="331">
        <f>(W22/W55)*X20</f>
        <v>704.59749867887979</v>
      </c>
      <c r="Y22" s="18" t="str">
        <f>IF(ISBLANK(S22),"",(S22/W55)*X20)</f>
        <v/>
      </c>
      <c r="Z22" s="594">
        <f>T22</f>
        <v>0</v>
      </c>
      <c r="AA22" s="1365">
        <f>W22/W55</f>
        <v>0.70459749867887977</v>
      </c>
      <c r="AB22" s="630"/>
      <c r="AC22" s="624">
        <f>AB20</f>
        <v>0</v>
      </c>
      <c r="AD22" s="624">
        <f>AB22+AC22</f>
        <v>0</v>
      </c>
      <c r="AE22" s="1366">
        <f>1-AD22</f>
        <v>1</v>
      </c>
      <c r="AG22" s="623">
        <f>((W22/W20)*AI20)</f>
        <v>600</v>
      </c>
      <c r="AH22" s="18">
        <f>IF(ISTEXT(S22),S22,IF(ISBLANK(S22),0,(S22/W20)*AI20))</f>
        <v>0</v>
      </c>
      <c r="AI22" s="17">
        <f t="shared" ref="AI22:AI54" si="2">T22</f>
        <v>0</v>
      </c>
      <c r="AJ22" s="1413">
        <f t="shared" ref="AJ22:AJ54" si="3">AK22*AE22</f>
        <v>600</v>
      </c>
      <c r="AK22" s="646">
        <f>(W22/W20)*AM20</f>
        <v>600</v>
      </c>
      <c r="AL22" s="18">
        <f>IF(ISBLANK(S22),0,(S22/W20)*AM20)</f>
        <v>0</v>
      </c>
      <c r="AM22" s="594">
        <f t="shared" ref="AM22:AM54" si="4">T22</f>
        <v>0</v>
      </c>
      <c r="AN22" s="646">
        <f>AK22</f>
        <v>600</v>
      </c>
      <c r="AO22" s="715">
        <f t="shared" ref="AO22:AO54" si="5">(AN22*AD22)+AN22</f>
        <v>600</v>
      </c>
      <c r="AP22" s="18">
        <f>IF(ISBLANK(S22),0,(S22/W55)*AO56)</f>
        <v>0</v>
      </c>
      <c r="AQ22" s="594">
        <f t="shared" ref="AQ22:AQ54" si="6">T22</f>
        <v>0</v>
      </c>
      <c r="AR22" s="649" t="s">
        <v>588</v>
      </c>
      <c r="AS22" s="648" t="s">
        <v>589</v>
      </c>
      <c r="AT22" s="648" t="s">
        <v>587</v>
      </c>
      <c r="AU22" s="648">
        <v>3</v>
      </c>
    </row>
    <row r="23" spans="1:47" ht="18.95" customHeight="1">
      <c r="A23" s="2453"/>
      <c r="B23" s="1967">
        <f>IF(D19=1,AH23,IF(D19=2,AL23,IF(D19=3,AP23,IF(D19=4,AT23))))</f>
        <v>2</v>
      </c>
      <c r="C23" s="1438" t="str">
        <f>IF(D19=1,AI23,IF(D19=2,AM23,IF(D19=3,AQ23,IF(D19=4,AU23))))</f>
        <v>echalotes</v>
      </c>
      <c r="D23" s="1951">
        <f>IF(D19=1,AG23,IF(D19=2,AK23,IF(D19=3,AO23,IF(D19=4,AS23))))</f>
        <v>0</v>
      </c>
      <c r="E23" s="1440" t="str">
        <f>IF(D19=1,"",IF(D23=F23,"",AD23))</f>
        <v/>
      </c>
      <c r="F23" s="1952" t="str">
        <f>IF(D19=1,"",IF(D19=2,AJ23,IF(D19=3,AN23,IF(D19=4,AR23))))</f>
        <v/>
      </c>
      <c r="G23" s="22" t="str">
        <f t="shared" si="0"/>
        <v xml:space="preserve"> 2 belles échalotes ciselées</v>
      </c>
      <c r="H23" s="22"/>
      <c r="I23" s="2454"/>
      <c r="J23" s="1530">
        <v>1</v>
      </c>
      <c r="K23" s="15" t="s">
        <v>2238</v>
      </c>
      <c r="L23" s="15"/>
      <c r="M23" s="15"/>
      <c r="N23" s="15"/>
      <c r="O23" s="15"/>
      <c r="P23" s="15"/>
      <c r="Q23" s="2455"/>
      <c r="S23" s="1953">
        <v>2</v>
      </c>
      <c r="T23" s="1282" t="s">
        <v>2263</v>
      </c>
      <c r="U23" s="1284"/>
      <c r="V23" s="19" t="s">
        <v>2229</v>
      </c>
      <c r="W23" s="626">
        <f t="shared" si="1"/>
        <v>0</v>
      </c>
      <c r="X23" s="331">
        <f>(W23/W55)*X20</f>
        <v>0</v>
      </c>
      <c r="Y23" s="18">
        <f>IF(ISBLANK(S23),"",(S23/W55)*X20)</f>
        <v>2.3486583289295995</v>
      </c>
      <c r="Z23" s="594" t="str">
        <f>T23</f>
        <v>echalotes</v>
      </c>
      <c r="AA23" s="1365">
        <f>W23/W55</f>
        <v>0</v>
      </c>
      <c r="AB23" s="630"/>
      <c r="AC23" s="624">
        <f>AB20</f>
        <v>0</v>
      </c>
      <c r="AD23" s="624">
        <f t="shared" ref="AD23:AD54" si="7">AB23+AC23</f>
        <v>0</v>
      </c>
      <c r="AE23" s="1366">
        <f t="shared" ref="AE23:AE54" si="8">1-AD23</f>
        <v>1</v>
      </c>
      <c r="AG23" s="623">
        <f>((W23/W20)*AI20)</f>
        <v>0</v>
      </c>
      <c r="AH23" s="18">
        <f>IF(ISTEXT(S23),S23,IF(ISBLANK(S23),0,(S23/W20)*AI20))</f>
        <v>2</v>
      </c>
      <c r="AI23" s="17" t="str">
        <f t="shared" si="2"/>
        <v>echalotes</v>
      </c>
      <c r="AJ23" s="1413">
        <f t="shared" si="3"/>
        <v>0</v>
      </c>
      <c r="AK23" s="646">
        <f>(W23/W20)*AM20</f>
        <v>0</v>
      </c>
      <c r="AL23" s="18">
        <f>IF(ISBLANK(S23),0,(S23/W20)*AM20)</f>
        <v>2</v>
      </c>
      <c r="AM23" s="594" t="str">
        <f t="shared" si="4"/>
        <v>echalotes</v>
      </c>
      <c r="AN23" s="646">
        <f>AK23</f>
        <v>0</v>
      </c>
      <c r="AO23" s="715">
        <f t="shared" si="5"/>
        <v>0</v>
      </c>
      <c r="AP23" s="18">
        <f>IF(ISBLANK(S23),0,(S23/W55)*AO56)</f>
        <v>2</v>
      </c>
      <c r="AQ23" s="594" t="str">
        <f t="shared" si="6"/>
        <v>echalotes</v>
      </c>
      <c r="AR23" s="649" t="s">
        <v>588</v>
      </c>
      <c r="AS23" s="648" t="s">
        <v>589</v>
      </c>
      <c r="AT23" s="648" t="s">
        <v>587</v>
      </c>
      <c r="AU23" s="648">
        <v>3</v>
      </c>
    </row>
    <row r="24" spans="1:47" ht="18.95" customHeight="1">
      <c r="A24" s="2453"/>
      <c r="B24" s="1967">
        <f>IF(D19=1,AH24,IF(D19=2,AL24,IF(D19=3,AP24,IF(D19=4,AT24))))</f>
        <v>1</v>
      </c>
      <c r="C24" s="1438" t="str">
        <f>IF(D19=1,AI24,IF(D19=2,AM24,IF(D19=3,AQ24,IF(D19=4,AU24))))</f>
        <v>verre</v>
      </c>
      <c r="D24" s="1951">
        <f>IF(D19=1,AG24,IF(D19=2,AK24,IF(D19=3,AO24,IF(D19=4,AS24))))</f>
        <v>100</v>
      </c>
      <c r="E24" s="1440" t="str">
        <f>IF(D19=1,"",IF(D24=F24,"",AD24))</f>
        <v/>
      </c>
      <c r="F24" s="1952" t="str">
        <f>IF(D19=1,"",IF(D19=2,AJ24,IF(D19=3,AN24,IF(D19=4,AR24))))</f>
        <v/>
      </c>
      <c r="G24" s="22" t="str">
        <f t="shared" si="0"/>
        <v xml:space="preserve"> 1 verre de vin blanc sec</v>
      </c>
      <c r="H24" s="22"/>
      <c r="I24" s="2454"/>
      <c r="J24" s="1530">
        <v>2</v>
      </c>
      <c r="K24" s="15" t="s">
        <v>2246</v>
      </c>
      <c r="L24" s="15"/>
      <c r="M24" s="15"/>
      <c r="N24" s="15"/>
      <c r="O24" s="15"/>
      <c r="P24" s="15"/>
      <c r="Q24" s="2455"/>
      <c r="S24" s="1953">
        <v>1</v>
      </c>
      <c r="T24" s="1282" t="s">
        <v>2264</v>
      </c>
      <c r="U24" s="1284">
        <v>100</v>
      </c>
      <c r="V24" s="19" t="s">
        <v>2230</v>
      </c>
      <c r="W24" s="626">
        <f t="shared" si="1"/>
        <v>100</v>
      </c>
      <c r="X24" s="331">
        <f>(W24/W55)*X20</f>
        <v>117.43291644647995</v>
      </c>
      <c r="Y24" s="18">
        <f>IF(ISBLANK(S24),"",(S24/W55)*X20)</f>
        <v>1.1743291644647997</v>
      </c>
      <c r="Z24" s="594" t="str">
        <f>T24</f>
        <v>verre</v>
      </c>
      <c r="AA24" s="1365">
        <f>W24/W55</f>
        <v>0.11743291644647995</v>
      </c>
      <c r="AB24" s="630"/>
      <c r="AC24" s="624">
        <f>AB20</f>
        <v>0</v>
      </c>
      <c r="AD24" s="624">
        <f t="shared" si="7"/>
        <v>0</v>
      </c>
      <c r="AE24" s="1366">
        <f t="shared" si="8"/>
        <v>1</v>
      </c>
      <c r="AG24" s="623">
        <f>((W24/W20)*AI20)</f>
        <v>100</v>
      </c>
      <c r="AH24" s="18">
        <f>IF(ISTEXT(S24),S24,IF(ISBLANK(S24),0,(S24/W20)*AI20))</f>
        <v>1</v>
      </c>
      <c r="AI24" s="17" t="str">
        <f t="shared" si="2"/>
        <v>verre</v>
      </c>
      <c r="AJ24" s="1413">
        <f t="shared" si="3"/>
        <v>100</v>
      </c>
      <c r="AK24" s="646">
        <f>(W24/W20)*AM20</f>
        <v>100</v>
      </c>
      <c r="AL24" s="18">
        <f>IF(ISBLANK(S24),0,(S24/W20)*AM20)</f>
        <v>1</v>
      </c>
      <c r="AM24" s="594" t="str">
        <f t="shared" si="4"/>
        <v>verre</v>
      </c>
      <c r="AN24" s="646">
        <f t="shared" ref="AN24:AN54" si="9">AK24</f>
        <v>100</v>
      </c>
      <c r="AO24" s="715">
        <f t="shared" si="5"/>
        <v>100</v>
      </c>
      <c r="AP24" s="18">
        <f>IF(ISBLANK(S24),0,(S24/W55)*AO56)</f>
        <v>1</v>
      </c>
      <c r="AQ24" s="594" t="str">
        <f t="shared" si="6"/>
        <v>verre</v>
      </c>
      <c r="AR24" s="649" t="s">
        <v>588</v>
      </c>
      <c r="AS24" s="648" t="s">
        <v>589</v>
      </c>
      <c r="AT24" s="648" t="s">
        <v>587</v>
      </c>
      <c r="AU24" s="648">
        <v>3</v>
      </c>
    </row>
    <row r="25" spans="1:47" ht="18.95" customHeight="1">
      <c r="A25" s="2453"/>
      <c r="B25" s="1967">
        <f>IF(D19=1,AH25,IF(D19=2,AL25,IF(D19=3,AP25,IF(D19=4,AT25))))</f>
        <v>2</v>
      </c>
      <c r="C25" s="1438" t="str">
        <f>IF(D19=1,AI25,IF(D19=2,AM25,IF(D19=3,AQ25,IF(D19=4,AU25))))</f>
        <v>C/S</v>
      </c>
      <c r="D25" s="1951">
        <f>IF(D19=1,AG25,IF(D19=2,AK25,IF(D19=3,AO25,IF(D19=4,AS25))))</f>
        <v>80</v>
      </c>
      <c r="E25" s="1440" t="str">
        <f>IF(D19=1,"",IF(D25=F25,"",AD25))</f>
        <v/>
      </c>
      <c r="F25" s="1952" t="str">
        <f>IF(D19=1,"",IF(D19=2,AJ25,IF(D19=3,AN25,IF(D19=4,AR25))))</f>
        <v/>
      </c>
      <c r="G25" s="22" t="str">
        <f t="shared" si="0"/>
        <v xml:space="preserve"> 2 c.à soupe bombées de crème fraîche épaisse</v>
      </c>
      <c r="H25" s="22"/>
      <c r="I25" s="2454"/>
      <c r="J25" s="1530">
        <v>3</v>
      </c>
      <c r="K25" s="15" t="s">
        <v>2257</v>
      </c>
      <c r="L25" s="15"/>
      <c r="M25" s="15"/>
      <c r="N25" s="15"/>
      <c r="O25" s="15"/>
      <c r="P25" s="15"/>
      <c r="Q25" s="2455"/>
      <c r="S25" s="1953">
        <v>2</v>
      </c>
      <c r="T25" s="1282" t="s">
        <v>454</v>
      </c>
      <c r="U25" s="1284">
        <v>40</v>
      </c>
      <c r="V25" s="19" t="s">
        <v>2231</v>
      </c>
      <c r="W25" s="626">
        <f t="shared" si="1"/>
        <v>80</v>
      </c>
      <c r="X25" s="331">
        <f>(W25/W55)*X20</f>
        <v>93.946333157183972</v>
      </c>
      <c r="Y25" s="18">
        <f>IF(ISBLANK(S25),"",(S25/W55)*X20)</f>
        <v>2.3486583289295995</v>
      </c>
      <c r="Z25" s="594" t="str">
        <f t="shared" ref="Z25:Z54" si="10">T25</f>
        <v>C/S</v>
      </c>
      <c r="AA25" s="1365">
        <f>W25/W55</f>
        <v>9.3946333157183967E-2</v>
      </c>
      <c r="AB25" s="630"/>
      <c r="AC25" s="624">
        <f>AB20</f>
        <v>0</v>
      </c>
      <c r="AD25" s="624">
        <f t="shared" si="7"/>
        <v>0</v>
      </c>
      <c r="AE25" s="1366">
        <f t="shared" si="8"/>
        <v>1</v>
      </c>
      <c r="AG25" s="623">
        <f>((W25/W20)*AI20)</f>
        <v>80</v>
      </c>
      <c r="AH25" s="18">
        <f>IF(ISTEXT(S25),S25,IF(ISBLANK(S25),0,(S25/W20)*AI20))</f>
        <v>2</v>
      </c>
      <c r="AI25" s="17" t="str">
        <f t="shared" si="2"/>
        <v>C/S</v>
      </c>
      <c r="AJ25" s="1413">
        <f t="shared" si="3"/>
        <v>80</v>
      </c>
      <c r="AK25" s="646">
        <f>(W25/W20)*AM20</f>
        <v>80</v>
      </c>
      <c r="AL25" s="18">
        <f>IF(ISBLANK(S25),0,(S25/W20)*AM20)</f>
        <v>2</v>
      </c>
      <c r="AM25" s="594" t="str">
        <f t="shared" si="4"/>
        <v>C/S</v>
      </c>
      <c r="AN25" s="646">
        <f t="shared" si="9"/>
        <v>80</v>
      </c>
      <c r="AO25" s="715">
        <f t="shared" si="5"/>
        <v>80</v>
      </c>
      <c r="AP25" s="18">
        <f>IF(ISBLANK(S25),0,(S25/W55)*AO56)</f>
        <v>2</v>
      </c>
      <c r="AQ25" s="594" t="str">
        <f t="shared" si="6"/>
        <v>C/S</v>
      </c>
      <c r="AR25" s="649" t="s">
        <v>588</v>
      </c>
      <c r="AS25" s="648" t="s">
        <v>589</v>
      </c>
      <c r="AT25" s="648" t="s">
        <v>587</v>
      </c>
      <c r="AU25" s="648">
        <v>3</v>
      </c>
    </row>
    <row r="26" spans="1:47" ht="18.95" customHeight="1">
      <c r="A26" s="2453"/>
      <c r="B26" s="1967">
        <f>IF(D19=1,AH26,IF(D19=2,AL26,IF(D19=3,AP26,IF(D19=4,AT26))))</f>
        <v>2</v>
      </c>
      <c r="C26" s="1438" t="str">
        <f>IF(D19=1,AI26,IF(D19=2,AM26,IF(D19=3,AQ26,IF(D19=4,AU26))))</f>
        <v>blancs</v>
      </c>
      <c r="D26" s="1951">
        <f>IF(D19=1,AG26,IF(D19=2,AK26,IF(D19=3,AO26,IF(D19=4,AS26))))</f>
        <v>60</v>
      </c>
      <c r="E26" s="1440" t="str">
        <f>IF(D19=1,"",IF(D26=F26,"",AD26))</f>
        <v/>
      </c>
      <c r="F26" s="1952" t="str">
        <f>IF(D19=1,"",IF(D19=2,AJ26,IF(D19=3,AN26,IF(D19=4,AR26))))</f>
        <v/>
      </c>
      <c r="G26" s="22" t="str">
        <f t="shared" si="0"/>
        <v xml:space="preserve"> 2 blancs d'oeufs</v>
      </c>
      <c r="H26" s="22"/>
      <c r="I26" s="2454"/>
      <c r="J26" s="1530">
        <v>4</v>
      </c>
      <c r="K26" s="15" t="s">
        <v>2247</v>
      </c>
      <c r="L26" s="15"/>
      <c r="M26" s="15"/>
      <c r="N26" s="15"/>
      <c r="O26" s="15"/>
      <c r="P26" s="15"/>
      <c r="Q26" s="2455"/>
      <c r="S26" s="1953">
        <v>2</v>
      </c>
      <c r="T26" s="1282" t="s">
        <v>2265</v>
      </c>
      <c r="U26" s="1284">
        <v>30</v>
      </c>
      <c r="V26" s="19" t="s">
        <v>2232</v>
      </c>
      <c r="W26" s="626">
        <f t="shared" si="1"/>
        <v>60</v>
      </c>
      <c r="X26" s="331">
        <f>(W26/W55)*X20</f>
        <v>70.459749867887979</v>
      </c>
      <c r="Y26" s="18">
        <f>IF(ISBLANK(S26),"",(S26/W55)*X20)</f>
        <v>2.3486583289295995</v>
      </c>
      <c r="Z26" s="594" t="str">
        <f t="shared" si="10"/>
        <v>blancs</v>
      </c>
      <c r="AA26" s="1365">
        <f>W26/W55</f>
        <v>7.0459749867887972E-2</v>
      </c>
      <c r="AB26" s="630"/>
      <c r="AC26" s="624">
        <f>AB20</f>
        <v>0</v>
      </c>
      <c r="AD26" s="624">
        <f t="shared" si="7"/>
        <v>0</v>
      </c>
      <c r="AE26" s="1366">
        <f t="shared" si="8"/>
        <v>1</v>
      </c>
      <c r="AG26" s="623">
        <f>((W26/W20)*AI20)</f>
        <v>60</v>
      </c>
      <c r="AH26" s="18">
        <f>IF(ISTEXT(S26),S26,IF(ISBLANK(S26),0,(S26/W20)*AI20))</f>
        <v>2</v>
      </c>
      <c r="AI26" s="17" t="str">
        <f t="shared" si="2"/>
        <v>blancs</v>
      </c>
      <c r="AJ26" s="1413">
        <f t="shared" si="3"/>
        <v>60</v>
      </c>
      <c r="AK26" s="646">
        <f>(W26/W20)*AM20</f>
        <v>60</v>
      </c>
      <c r="AL26" s="18">
        <f>IF(ISBLANK(S26),0,(S26/W20)*AM20)</f>
        <v>2</v>
      </c>
      <c r="AM26" s="594" t="str">
        <f t="shared" si="4"/>
        <v>blancs</v>
      </c>
      <c r="AN26" s="646">
        <f t="shared" si="9"/>
        <v>60</v>
      </c>
      <c r="AO26" s="715">
        <f t="shared" si="5"/>
        <v>60</v>
      </c>
      <c r="AP26" s="18">
        <f>IF(ISBLANK(S26),0,(S26/W55)*AO56)</f>
        <v>2</v>
      </c>
      <c r="AQ26" s="594" t="str">
        <f t="shared" si="6"/>
        <v>blancs</v>
      </c>
      <c r="AR26" s="649" t="s">
        <v>588</v>
      </c>
      <c r="AS26" s="648" t="s">
        <v>589</v>
      </c>
      <c r="AT26" s="648" t="s">
        <v>587</v>
      </c>
      <c r="AU26" s="648">
        <v>3</v>
      </c>
    </row>
    <row r="27" spans="1:47" ht="18.95" customHeight="1">
      <c r="A27" s="2453"/>
      <c r="B27" s="1967">
        <f>IF(D19=1,AH27,IF(D19=2,AL27,IF(D19=3,AP27,IF(D19=4,AT27))))</f>
        <v>1</v>
      </c>
      <c r="C27" s="1438" t="str">
        <f>IF(D19=1,AI27,IF(D19=2,AM27,IF(D19=3,AQ27,IF(D19=4,AU27))))</f>
        <v>douzaine</v>
      </c>
      <c r="D27" s="1951">
        <f>IF(D19=1,AG27,IF(D19=2,AK27,IF(D19=3,AO27,IF(D19=4,AS27))))</f>
        <v>0</v>
      </c>
      <c r="E27" s="1440" t="str">
        <f>IF(D19=1,"",IF(D27=F27,"",AD27))</f>
        <v/>
      </c>
      <c r="F27" s="1952" t="str">
        <f>IF(D19=1,"",IF(D19=2,AJ27,IF(D19=3,AN27,IF(D19=4,AR27))))</f>
        <v/>
      </c>
      <c r="G27" s="22" t="str">
        <f t="shared" si="0"/>
        <v xml:space="preserve"> 1 douzaine de petites morilles séchées</v>
      </c>
      <c r="H27" s="22"/>
      <c r="I27" s="2454"/>
      <c r="J27" s="1530">
        <v>5</v>
      </c>
      <c r="K27" s="15" t="s">
        <v>2248</v>
      </c>
      <c r="L27" s="15"/>
      <c r="M27" s="15"/>
      <c r="N27" s="15"/>
      <c r="O27" s="15"/>
      <c r="P27" s="15"/>
      <c r="Q27" s="2455"/>
      <c r="S27" s="1953">
        <v>1</v>
      </c>
      <c r="T27" s="1282" t="s">
        <v>2266</v>
      </c>
      <c r="U27" s="1284"/>
      <c r="V27" s="19" t="s">
        <v>2233</v>
      </c>
      <c r="W27" s="626">
        <f t="shared" si="1"/>
        <v>0</v>
      </c>
      <c r="X27" s="331">
        <f>(W27/W55)*X20</f>
        <v>0</v>
      </c>
      <c r="Y27" s="18">
        <f>IF(ISBLANK(S27),"",(S27/W55)*X20)</f>
        <v>1.1743291644647997</v>
      </c>
      <c r="Z27" s="594" t="str">
        <f t="shared" si="10"/>
        <v>douzaine</v>
      </c>
      <c r="AA27" s="1365">
        <f>W27/W55</f>
        <v>0</v>
      </c>
      <c r="AB27" s="630"/>
      <c r="AC27" s="624">
        <f>AB20</f>
        <v>0</v>
      </c>
      <c r="AD27" s="624">
        <f t="shared" si="7"/>
        <v>0</v>
      </c>
      <c r="AE27" s="1366">
        <f t="shared" si="8"/>
        <v>1</v>
      </c>
      <c r="AG27" s="623">
        <f>((W27/W20)*AI20)</f>
        <v>0</v>
      </c>
      <c r="AH27" s="18">
        <f>IF(ISTEXT(S27),S27,IF(ISBLANK(S27),0,(S27/W20)*AI20))</f>
        <v>1</v>
      </c>
      <c r="AI27" s="17" t="str">
        <f t="shared" si="2"/>
        <v>douzaine</v>
      </c>
      <c r="AJ27" s="1413">
        <f t="shared" si="3"/>
        <v>0</v>
      </c>
      <c r="AK27" s="646">
        <f>(W27/W20)*AM20</f>
        <v>0</v>
      </c>
      <c r="AL27" s="18">
        <f>IF(ISBLANK(S27),0,(S27/W20)*AM20)</f>
        <v>1</v>
      </c>
      <c r="AM27" s="594" t="str">
        <f t="shared" si="4"/>
        <v>douzaine</v>
      </c>
      <c r="AN27" s="646">
        <f t="shared" si="9"/>
        <v>0</v>
      </c>
      <c r="AO27" s="715">
        <f t="shared" si="5"/>
        <v>0</v>
      </c>
      <c r="AP27" s="18">
        <f>IF(ISBLANK(S27),0,(S27/W55)*AO56)</f>
        <v>1</v>
      </c>
      <c r="AQ27" s="594" t="str">
        <f t="shared" si="6"/>
        <v>douzaine</v>
      </c>
      <c r="AR27" s="649" t="s">
        <v>588</v>
      </c>
      <c r="AS27" s="648" t="s">
        <v>589</v>
      </c>
      <c r="AT27" s="648" t="s">
        <v>587</v>
      </c>
      <c r="AU27" s="648">
        <v>3</v>
      </c>
    </row>
    <row r="28" spans="1:47" ht="18.95" customHeight="1">
      <c r="A28" s="2453"/>
      <c r="B28" s="1967">
        <f>IF(D19=1,AH28,IF(D19=2,AL28,IF(D19=3,AP28,IF(D19=4,AT28))))</f>
        <v>2</v>
      </c>
      <c r="C28" s="1438" t="str">
        <f>IF(D19=1,AI28,IF(D19=2,AM28,IF(D19=3,AQ28,IF(D19=4,AU28))))</f>
        <v>C/S</v>
      </c>
      <c r="D28" s="1951">
        <f>IF(D19=1,AG28,IF(D19=2,AK28,IF(D19=3,AO28,IF(D19=4,AS28))))</f>
        <v>0</v>
      </c>
      <c r="E28" s="1440" t="str">
        <f>IF(D19=1,"",IF(D28=F28,"",AD28))</f>
        <v/>
      </c>
      <c r="F28" s="1952" t="str">
        <f>IF(D19=1,"",IF(D19=2,AJ28,IF(D19=3,AN28,IF(D19=4,AR28))))</f>
        <v/>
      </c>
      <c r="G28" s="22" t="str">
        <f t="shared" si="0"/>
        <v xml:space="preserve"> 2 c.à soupe rases de Maïzena</v>
      </c>
      <c r="H28" s="22"/>
      <c r="I28" s="2454"/>
      <c r="J28" s="1530">
        <v>6</v>
      </c>
      <c r="K28" s="15" t="s">
        <v>2249</v>
      </c>
      <c r="L28" s="15"/>
      <c r="M28" s="15"/>
      <c r="N28" s="15"/>
      <c r="O28" s="15"/>
      <c r="P28" s="15"/>
      <c r="Q28" s="2455"/>
      <c r="S28" s="1953">
        <v>2</v>
      </c>
      <c r="T28" s="1282" t="s">
        <v>454</v>
      </c>
      <c r="U28" s="1284"/>
      <c r="V28" s="19" t="s">
        <v>2234</v>
      </c>
      <c r="W28" s="626">
        <f t="shared" si="1"/>
        <v>0</v>
      </c>
      <c r="X28" s="331">
        <f>(W28/W55)*X20</f>
        <v>0</v>
      </c>
      <c r="Y28" s="18">
        <f>IF(ISBLANK(S28),"",(S28/W55)*X20)</f>
        <v>2.3486583289295995</v>
      </c>
      <c r="Z28" s="594" t="str">
        <f t="shared" si="10"/>
        <v>C/S</v>
      </c>
      <c r="AA28" s="1365">
        <f>W28/W55</f>
        <v>0</v>
      </c>
      <c r="AB28" s="630"/>
      <c r="AC28" s="624">
        <f>AB20</f>
        <v>0</v>
      </c>
      <c r="AD28" s="624">
        <f t="shared" si="7"/>
        <v>0</v>
      </c>
      <c r="AE28" s="1366">
        <f t="shared" si="8"/>
        <v>1</v>
      </c>
      <c r="AG28" s="623">
        <f>((W28/W20)*AI20)</f>
        <v>0</v>
      </c>
      <c r="AH28" s="18">
        <f>IF(ISTEXT(S28),S28,IF(ISBLANK(S28),0,(S28/W20)*AI20))</f>
        <v>2</v>
      </c>
      <c r="AI28" s="17" t="str">
        <f t="shared" si="2"/>
        <v>C/S</v>
      </c>
      <c r="AJ28" s="1413">
        <f t="shared" si="3"/>
        <v>0</v>
      </c>
      <c r="AK28" s="646">
        <f>(W28/W20)*AM20</f>
        <v>0</v>
      </c>
      <c r="AL28" s="18">
        <f>IF(ISBLANK(S28),0,(S28/W20)*AM20)</f>
        <v>2</v>
      </c>
      <c r="AM28" s="594" t="str">
        <f t="shared" si="4"/>
        <v>C/S</v>
      </c>
      <c r="AN28" s="646">
        <f t="shared" si="9"/>
        <v>0</v>
      </c>
      <c r="AO28" s="715">
        <f t="shared" si="5"/>
        <v>0</v>
      </c>
      <c r="AP28" s="18">
        <f>IF(ISBLANK(S28),0,(S28/W55)*AO56)</f>
        <v>2</v>
      </c>
      <c r="AQ28" s="594" t="str">
        <f t="shared" si="6"/>
        <v>C/S</v>
      </c>
      <c r="AR28" s="649" t="s">
        <v>588</v>
      </c>
      <c r="AS28" s="648" t="s">
        <v>589</v>
      </c>
      <c r="AT28" s="648" t="s">
        <v>587</v>
      </c>
      <c r="AU28" s="648">
        <v>3</v>
      </c>
    </row>
    <row r="29" spans="1:47" ht="18.95" customHeight="1">
      <c r="A29" s="2453"/>
      <c r="B29" s="1967">
        <f>IF(D19=1,AH29,IF(D19=2,AL29,IF(D19=3,AP29,IF(D19=4,AT29))))</f>
        <v>1</v>
      </c>
      <c r="C29" s="1438" t="str">
        <f>IF(D19=1,AI29,IF(D19=2,AM29,IF(D19=3,AQ29,IF(D19=4,AU29))))</f>
        <v>pincée</v>
      </c>
      <c r="D29" s="1951">
        <f>IF(D19=1,AG29,IF(D19=2,AK29,IF(D19=3,AO29,IF(D19=4,AS29))))</f>
        <v>0</v>
      </c>
      <c r="E29" s="1440" t="str">
        <f>IF(D19=1,"",IF(D29=F29,"",AD29))</f>
        <v/>
      </c>
      <c r="F29" s="1952" t="str">
        <f>IF(D19=1,"",IF(D19=2,AJ29,IF(D19=3,AN29,IF(D19=4,AR29))))</f>
        <v/>
      </c>
      <c r="G29" s="22" t="str">
        <f t="shared" si="0"/>
        <v xml:space="preserve"> 1 petite pincée de 4 épices</v>
      </c>
      <c r="H29" s="22"/>
      <c r="I29" s="2454"/>
      <c r="J29" s="1530">
        <v>7</v>
      </c>
      <c r="K29" s="15" t="s">
        <v>2258</v>
      </c>
      <c r="L29" s="15"/>
      <c r="M29" s="15"/>
      <c r="N29" s="15"/>
      <c r="O29" s="15"/>
      <c r="P29" s="15"/>
      <c r="Q29" s="2455"/>
      <c r="S29" s="1953">
        <v>1</v>
      </c>
      <c r="T29" s="1282" t="s">
        <v>127</v>
      </c>
      <c r="U29" s="1284"/>
      <c r="V29" s="19" t="s">
        <v>2235</v>
      </c>
      <c r="W29" s="626">
        <f t="shared" si="1"/>
        <v>0</v>
      </c>
      <c r="X29" s="331">
        <f>(W29/W55)*X20</f>
        <v>0</v>
      </c>
      <c r="Y29" s="18">
        <f>IF(ISBLANK(S29),"",(S29/W55)*X20)</f>
        <v>1.1743291644647997</v>
      </c>
      <c r="Z29" s="594" t="str">
        <f t="shared" si="10"/>
        <v>pincée</v>
      </c>
      <c r="AA29" s="1365">
        <f>W29/W55</f>
        <v>0</v>
      </c>
      <c r="AB29" s="630"/>
      <c r="AC29" s="624">
        <f>AB20</f>
        <v>0</v>
      </c>
      <c r="AD29" s="624">
        <f t="shared" si="7"/>
        <v>0</v>
      </c>
      <c r="AE29" s="1366">
        <f t="shared" si="8"/>
        <v>1</v>
      </c>
      <c r="AG29" s="623">
        <f>((W29/W20)*AI20)</f>
        <v>0</v>
      </c>
      <c r="AH29" s="18">
        <f>IF(ISTEXT(S29),S29,IF(ISBLANK(S29),0,(S29/W20)*AI20))</f>
        <v>1</v>
      </c>
      <c r="AI29" s="17" t="str">
        <f t="shared" si="2"/>
        <v>pincée</v>
      </c>
      <c r="AJ29" s="1413">
        <f t="shared" si="3"/>
        <v>0</v>
      </c>
      <c r="AK29" s="646">
        <f>(W29/W20)*AM20</f>
        <v>0</v>
      </c>
      <c r="AL29" s="18">
        <f>IF(ISBLANK(S29),0,(S29/W20)*AM20)</f>
        <v>1</v>
      </c>
      <c r="AM29" s="594" t="str">
        <f t="shared" si="4"/>
        <v>pincée</v>
      </c>
      <c r="AN29" s="646">
        <f t="shared" si="9"/>
        <v>0</v>
      </c>
      <c r="AO29" s="715">
        <f t="shared" si="5"/>
        <v>0</v>
      </c>
      <c r="AP29" s="18">
        <f>IF(ISBLANK(S29),0,(S29/W55)*AO56)</f>
        <v>1</v>
      </c>
      <c r="AQ29" s="594" t="str">
        <f t="shared" si="6"/>
        <v>pincée</v>
      </c>
      <c r="AR29" s="649" t="s">
        <v>588</v>
      </c>
      <c r="AS29" s="648" t="s">
        <v>589</v>
      </c>
      <c r="AT29" s="648" t="s">
        <v>587</v>
      </c>
      <c r="AU29" s="648">
        <v>3</v>
      </c>
    </row>
    <row r="30" spans="1:47" ht="18.95" customHeight="1">
      <c r="A30" s="2453"/>
      <c r="B30" s="1967">
        <f>IF(D19=1,AH30,IF(D19=2,AL30,IF(D19=3,AP30,IF(D19=4,AT30))))</f>
        <v>1</v>
      </c>
      <c r="C30" s="1438" t="str">
        <f>IF(D19=1,AI30,IF(D19=2,AM30,IF(D19=3,AQ30,IF(D19=4,AU30))))</f>
        <v>noisette</v>
      </c>
      <c r="D30" s="1951">
        <f>IF(D19=1,AG30,IF(D19=2,AK30,IF(D19=3,AO30,IF(D19=4,AS30))))</f>
        <v>0</v>
      </c>
      <c r="E30" s="1440" t="str">
        <f>IF(D19=1,"",IF(D30=F30,"",AD30))</f>
        <v/>
      </c>
      <c r="F30" s="1952" t="str">
        <f>IF(D19=1,"",IF(D19=2,AJ30,IF(D19=3,AN30,IF(D19=4,AR30))))</f>
        <v/>
      </c>
      <c r="G30" s="22" t="str">
        <f t="shared" si="0"/>
        <v xml:space="preserve"> Une noisette de beurre</v>
      </c>
      <c r="H30" s="22"/>
      <c r="I30" s="2454"/>
      <c r="J30" s="1530">
        <v>8</v>
      </c>
      <c r="K30" s="15" t="s">
        <v>2250</v>
      </c>
      <c r="L30" s="15"/>
      <c r="M30" s="15"/>
      <c r="N30" s="15"/>
      <c r="O30" s="15"/>
      <c r="P30" s="15"/>
      <c r="Q30" s="2455"/>
      <c r="S30" s="1953">
        <v>1</v>
      </c>
      <c r="T30" s="1282" t="s">
        <v>2268</v>
      </c>
      <c r="U30" s="1284"/>
      <c r="V30" s="19" t="s">
        <v>2237</v>
      </c>
      <c r="W30" s="626">
        <f t="shared" si="1"/>
        <v>0</v>
      </c>
      <c r="X30" s="331">
        <f>(W30/W55)*X20</f>
        <v>0</v>
      </c>
      <c r="Y30" s="18">
        <f>IF(ISBLANK(S30),"",(S30/W55)*X20)</f>
        <v>1.1743291644647997</v>
      </c>
      <c r="Z30" s="594" t="str">
        <f t="shared" si="10"/>
        <v>noisette</v>
      </c>
      <c r="AA30" s="1365">
        <f>W30/W55</f>
        <v>0</v>
      </c>
      <c r="AB30" s="630"/>
      <c r="AC30" s="624">
        <f>AB20</f>
        <v>0</v>
      </c>
      <c r="AD30" s="624">
        <f t="shared" si="7"/>
        <v>0</v>
      </c>
      <c r="AE30" s="1366">
        <f t="shared" si="8"/>
        <v>1</v>
      </c>
      <c r="AG30" s="623">
        <f>((W30/W20)*AI20)</f>
        <v>0</v>
      </c>
      <c r="AH30" s="18">
        <f>IF(ISTEXT(S30),S30,IF(ISBLANK(S30),0,(S30/W20)*AI20))</f>
        <v>1</v>
      </c>
      <c r="AI30" s="17" t="str">
        <f t="shared" si="2"/>
        <v>noisette</v>
      </c>
      <c r="AJ30" s="1413">
        <f t="shared" si="3"/>
        <v>0</v>
      </c>
      <c r="AK30" s="646">
        <f>(W30/W20)*AM20</f>
        <v>0</v>
      </c>
      <c r="AL30" s="18">
        <f>IF(ISBLANK(S30),0,(S30/W20)*AM20)</f>
        <v>1</v>
      </c>
      <c r="AM30" s="594" t="str">
        <f t="shared" si="4"/>
        <v>noisette</v>
      </c>
      <c r="AN30" s="646">
        <f t="shared" si="9"/>
        <v>0</v>
      </c>
      <c r="AO30" s="715">
        <f t="shared" si="5"/>
        <v>0</v>
      </c>
      <c r="AP30" s="18">
        <f>IF(ISBLANK(S30),0,(S30/W55)*AO56)</f>
        <v>1</v>
      </c>
      <c r="AQ30" s="594" t="str">
        <f t="shared" si="6"/>
        <v>noisette</v>
      </c>
      <c r="AR30" s="649" t="s">
        <v>588</v>
      </c>
      <c r="AS30" s="648" t="s">
        <v>589</v>
      </c>
      <c r="AT30" s="648" t="s">
        <v>587</v>
      </c>
      <c r="AU30" s="648">
        <v>3</v>
      </c>
    </row>
    <row r="31" spans="1:47" ht="18.95" customHeight="1">
      <c r="A31" s="2453"/>
      <c r="B31" s="1967">
        <f>IF(D19=1,AH31,IF(D19=2,AL31,IF(D19=3,AP31,IF(D19=4,AT31))))</f>
        <v>0</v>
      </c>
      <c r="C31" s="1438">
        <f>IF(D19=1,AI31,IF(D19=2,AM31,IF(D19=3,AQ31,IF(D19=4,AU31))))</f>
        <v>0</v>
      </c>
      <c r="D31" s="1951">
        <f>IF(D19=1,AG31,IF(D19=2,AK31,IF(D19=3,AO31,IF(D19=4,AS31))))</f>
        <v>11.549999999999999</v>
      </c>
      <c r="E31" s="1440" t="str">
        <f>IF(D19=1,"",IF(D31=F31,"",AD31))</f>
        <v/>
      </c>
      <c r="F31" s="1952" t="str">
        <f>IF(D19=1,"",IF(D19=2,AJ31,IF(D19=3,AN31,IF(D19=4,AR31))))</f>
        <v/>
      </c>
      <c r="G31" s="22" t="str">
        <f t="shared" si="0"/>
        <v>sel</v>
      </c>
      <c r="H31" s="22"/>
      <c r="I31" s="2454"/>
      <c r="J31" s="1530">
        <v>9</v>
      </c>
      <c r="K31" s="15" t="s">
        <v>2259</v>
      </c>
      <c r="L31" s="15"/>
      <c r="M31" s="15"/>
      <c r="N31" s="15"/>
      <c r="O31" s="15"/>
      <c r="P31" s="15"/>
      <c r="Q31" s="2455"/>
      <c r="S31" s="1953"/>
      <c r="T31" s="1282"/>
      <c r="U31" s="1284">
        <f>(U34/1000)*U33</f>
        <v>11.549999999999999</v>
      </c>
      <c r="V31" s="19" t="s">
        <v>429</v>
      </c>
      <c r="W31" s="626">
        <f t="shared" si="1"/>
        <v>11.549999999999999</v>
      </c>
      <c r="X31" s="331">
        <f>(W31/W55)*X20</f>
        <v>13.563501849568434</v>
      </c>
      <c r="Y31" s="18" t="str">
        <f>IF(ISBLANK(S31),"",(S31/W55)*X20)</f>
        <v/>
      </c>
      <c r="Z31" s="594">
        <f t="shared" si="10"/>
        <v>0</v>
      </c>
      <c r="AA31" s="1365">
        <f>W31/W55</f>
        <v>1.3563501849568433E-2</v>
      </c>
      <c r="AB31" s="630"/>
      <c r="AC31" s="624">
        <f>AB20</f>
        <v>0</v>
      </c>
      <c r="AD31" s="624">
        <f t="shared" si="7"/>
        <v>0</v>
      </c>
      <c r="AE31" s="1366">
        <f t="shared" si="8"/>
        <v>1</v>
      </c>
      <c r="AG31" s="623">
        <f>((W31/W20)*AI20)</f>
        <v>11.549999999999999</v>
      </c>
      <c r="AH31" s="18">
        <f>IF(ISTEXT(S31),S31,IF(ISBLANK(S31),0,(S31/W20)*AI20))</f>
        <v>0</v>
      </c>
      <c r="AI31" s="17">
        <f t="shared" si="2"/>
        <v>0</v>
      </c>
      <c r="AJ31" s="1413">
        <f t="shared" si="3"/>
        <v>11.549999999999999</v>
      </c>
      <c r="AK31" s="646">
        <f>(W31/W20)*AM20</f>
        <v>11.549999999999999</v>
      </c>
      <c r="AL31" s="18">
        <f>IF(ISBLANK(S31),0,(S31/W20)*AM20)</f>
        <v>0</v>
      </c>
      <c r="AM31" s="594">
        <f t="shared" si="4"/>
        <v>0</v>
      </c>
      <c r="AN31" s="646">
        <f t="shared" si="9"/>
        <v>11.549999999999999</v>
      </c>
      <c r="AO31" s="715">
        <f t="shared" si="5"/>
        <v>11.549999999999999</v>
      </c>
      <c r="AP31" s="18">
        <f>IF(ISBLANK(S31),0,(S31/W55)*AO56)</f>
        <v>0</v>
      </c>
      <c r="AQ31" s="594">
        <f t="shared" si="6"/>
        <v>0</v>
      </c>
      <c r="AR31" s="649" t="s">
        <v>588</v>
      </c>
      <c r="AS31" s="648" t="s">
        <v>589</v>
      </c>
      <c r="AT31" s="648" t="s">
        <v>587</v>
      </c>
      <c r="AU31" s="648">
        <v>3</v>
      </c>
    </row>
    <row r="32" spans="1:47" ht="18.95" customHeight="1">
      <c r="A32" s="2453"/>
      <c r="B32" s="1967">
        <f>IF(D19=1,AH32,IF(D19=2,AL32,IF(D19=3,AP32,IF(D19=4,AT32))))</f>
        <v>0</v>
      </c>
      <c r="C32" s="1438">
        <f>IF(D19=1,AI32,IF(D19=2,AM32,IF(D19=3,AQ32,IF(D19=4,AU32))))</f>
        <v>0</v>
      </c>
      <c r="D32" s="1951">
        <f>IF(D19=1,AG32,IF(D19=2,AK32,IF(D19=3,AO32,IF(D19=4,AS32))))</f>
        <v>0</v>
      </c>
      <c r="E32" s="1440" t="str">
        <f>IF(D19=1,"",IF(D32=F32,"",AD32))</f>
        <v/>
      </c>
      <c r="F32" s="1952" t="str">
        <f>IF(D19=1,"",IF(D19=2,AJ32,IF(D19=3,AN32,IF(D19=4,AR32))))</f>
        <v/>
      </c>
      <c r="G32" s="22">
        <f t="shared" si="0"/>
        <v>0</v>
      </c>
      <c r="H32" s="22"/>
      <c r="I32" s="2454"/>
      <c r="J32" s="1530">
        <v>10</v>
      </c>
      <c r="K32" s="15" t="s">
        <v>2239</v>
      </c>
      <c r="L32" s="15"/>
      <c r="M32" s="15"/>
      <c r="N32" s="15"/>
      <c r="O32" s="15"/>
      <c r="P32" s="15"/>
      <c r="Q32" s="2455"/>
      <c r="S32" s="1953"/>
      <c r="T32" s="1282"/>
      <c r="U32" s="1284"/>
      <c r="V32" s="1511"/>
      <c r="W32" s="626">
        <f t="shared" si="1"/>
        <v>0</v>
      </c>
      <c r="X32" s="331">
        <f>(W32/W55)*X20</f>
        <v>0</v>
      </c>
      <c r="Y32" s="18" t="str">
        <f>IF(ISBLANK(S32),"",(S32/W55)*X20)</f>
        <v/>
      </c>
      <c r="Z32" s="594">
        <f t="shared" si="10"/>
        <v>0</v>
      </c>
      <c r="AA32" s="1365"/>
      <c r="AB32" s="630"/>
      <c r="AC32" s="624">
        <f>AB20</f>
        <v>0</v>
      </c>
      <c r="AD32" s="624">
        <f t="shared" si="7"/>
        <v>0</v>
      </c>
      <c r="AE32" s="1366">
        <f t="shared" si="8"/>
        <v>1</v>
      </c>
      <c r="AG32" s="623">
        <f>((W32/W20)*AI20)</f>
        <v>0</v>
      </c>
      <c r="AH32" s="18">
        <f>IF(ISTEXT(S32),S32,IF(ISBLANK(S32),0,(S32/W20)*AI20))</f>
        <v>0</v>
      </c>
      <c r="AI32" s="17">
        <f t="shared" si="2"/>
        <v>0</v>
      </c>
      <c r="AJ32" s="1413">
        <f t="shared" si="3"/>
        <v>0</v>
      </c>
      <c r="AK32" s="646">
        <f>(W32/W20)*AM20</f>
        <v>0</v>
      </c>
      <c r="AL32" s="18">
        <f>IF(ISBLANK(S32),0,(S32/W20)*AM20)</f>
        <v>0</v>
      </c>
      <c r="AM32" s="594">
        <f t="shared" si="4"/>
        <v>0</v>
      </c>
      <c r="AN32" s="646">
        <f t="shared" si="9"/>
        <v>0</v>
      </c>
      <c r="AO32" s="715">
        <f t="shared" si="5"/>
        <v>0</v>
      </c>
      <c r="AP32" s="18">
        <f>IF(ISBLANK(S32),0,(S32/W55)*AO56)</f>
        <v>0</v>
      </c>
      <c r="AQ32" s="594">
        <f t="shared" si="6"/>
        <v>0</v>
      </c>
      <c r="AR32" s="649" t="s">
        <v>588</v>
      </c>
      <c r="AS32" s="648" t="s">
        <v>589</v>
      </c>
      <c r="AT32" s="648" t="s">
        <v>587</v>
      </c>
      <c r="AU32" s="648">
        <v>3</v>
      </c>
    </row>
    <row r="33" spans="1:47" ht="18.95" customHeight="1">
      <c r="A33" s="2453"/>
      <c r="B33" s="1967">
        <f>IF(D19=1,AH33,IF(D19=2,AL33,IF(D19=3,AP33,IF(D19=4,AT33))))</f>
        <v>0</v>
      </c>
      <c r="C33" s="1438">
        <f>IF(D19=1,AI33,IF(D19=2,AM33,IF(D19=3,AQ33,IF(D19=4,AU33))))</f>
        <v>0</v>
      </c>
      <c r="D33" s="1951">
        <f>IF(D19=1,AG33,IF(D19=2,AK33,IF(D19=3,AO33,IF(D19=4,AS33))))</f>
        <v>0</v>
      </c>
      <c r="E33" s="1440" t="str">
        <f>IF(D19=1,"",IF(D33=F33,"",AD33))</f>
        <v/>
      </c>
      <c r="F33" s="1952" t="str">
        <f>IF(D19=1,"",IF(D19=2,AJ33,IF(D19=3,AN33,IF(D19=4,AR33))))</f>
        <v/>
      </c>
      <c r="G33" s="22" t="str">
        <f t="shared" si="0"/>
        <v>poids d'appareil</v>
      </c>
      <c r="H33" s="22"/>
      <c r="I33" s="2454"/>
      <c r="J33" s="1530">
        <v>11</v>
      </c>
      <c r="K33" s="15" t="s">
        <v>2260</v>
      </c>
      <c r="L33" s="15"/>
      <c r="M33" s="15"/>
      <c r="N33" s="15"/>
      <c r="O33" s="15"/>
      <c r="P33" s="15"/>
      <c r="Q33" s="2455"/>
      <c r="S33" s="1953"/>
      <c r="T33" s="1282"/>
      <c r="U33" s="1284">
        <f>SUM(U22:U30)</f>
        <v>770</v>
      </c>
      <c r="V33" s="1511" t="s">
        <v>2267</v>
      </c>
      <c r="W33" s="1963"/>
      <c r="X33" s="331">
        <f>(W33/W55)*X20</f>
        <v>0</v>
      </c>
      <c r="Y33" s="18" t="str">
        <f>IF(ISBLANK(S33),"",(S33/W55)*X20)</f>
        <v/>
      </c>
      <c r="Z33" s="594">
        <f t="shared" si="10"/>
        <v>0</v>
      </c>
      <c r="AA33" s="1365">
        <f>W33/W55</f>
        <v>0</v>
      </c>
      <c r="AB33" s="630"/>
      <c r="AC33" s="624">
        <f>AB20</f>
        <v>0</v>
      </c>
      <c r="AD33" s="624">
        <f t="shared" si="7"/>
        <v>0</v>
      </c>
      <c r="AE33" s="1366">
        <f t="shared" si="8"/>
        <v>1</v>
      </c>
      <c r="AG33" s="623">
        <f>((W33/W20)*AI20)</f>
        <v>0</v>
      </c>
      <c r="AH33" s="18">
        <f>IF(ISTEXT(S33),S33,IF(ISBLANK(S33),0,(S33/W20)*AI20))</f>
        <v>0</v>
      </c>
      <c r="AI33" s="17">
        <f t="shared" si="2"/>
        <v>0</v>
      </c>
      <c r="AJ33" s="1413">
        <f t="shared" si="3"/>
        <v>0</v>
      </c>
      <c r="AK33" s="646">
        <f>(W33/W20)*AM20</f>
        <v>0</v>
      </c>
      <c r="AL33" s="18">
        <f>IF(ISBLANK(S33),0,(S33/W20)*AM20)</f>
        <v>0</v>
      </c>
      <c r="AM33" s="594">
        <f t="shared" si="4"/>
        <v>0</v>
      </c>
      <c r="AN33" s="646">
        <f t="shared" si="9"/>
        <v>0</v>
      </c>
      <c r="AO33" s="715">
        <f t="shared" si="5"/>
        <v>0</v>
      </c>
      <c r="AP33" s="18">
        <f>IF(ISBLANK(S33),0,(S33/W55)*AO56)</f>
        <v>0</v>
      </c>
      <c r="AQ33" s="594">
        <f t="shared" si="6"/>
        <v>0</v>
      </c>
      <c r="AR33" s="649" t="s">
        <v>588</v>
      </c>
      <c r="AS33" s="648" t="s">
        <v>589</v>
      </c>
      <c r="AT33" s="648" t="s">
        <v>587</v>
      </c>
      <c r="AU33" s="648">
        <v>3</v>
      </c>
    </row>
    <row r="34" spans="1:47" ht="18.95" customHeight="1">
      <c r="A34" s="2453"/>
      <c r="B34" s="1967">
        <f>IF(D19=1,AH34,IF(D19=2,AL34,IF(D19=3,AP34,IF(D19=4,AT34))))</f>
        <v>0</v>
      </c>
      <c r="C34" s="1438">
        <f>IF(D19=1,AI34,IF(D19=2,AM34,IF(D19=3,AQ34,IF(D19=4,AU34))))</f>
        <v>0</v>
      </c>
      <c r="D34" s="1951">
        <f>IF(D19=1,AG34,IF(D19=2,AK34,IF(D19=3,AO34,IF(D19=4,AS34))))</f>
        <v>0</v>
      </c>
      <c r="E34" s="1440" t="str">
        <f>IF(D19=1,"",IF(D34=F34,"",AD34))</f>
        <v/>
      </c>
      <c r="F34" s="1952" t="str">
        <f>IF(D19=1,"",IF(D19=2,AJ34,IF(D19=3,AN34,IF(D19=4,AR34))))</f>
        <v/>
      </c>
      <c r="G34" s="22" t="str">
        <f t="shared" si="0"/>
        <v xml:space="preserve"> Sel (15 g/kg d'appareil) </v>
      </c>
      <c r="H34" s="22"/>
      <c r="I34" s="2454"/>
      <c r="J34" s="1530">
        <v>12</v>
      </c>
      <c r="K34" s="15" t="s">
        <v>2240</v>
      </c>
      <c r="L34" s="15"/>
      <c r="M34" s="15"/>
      <c r="N34" s="15"/>
      <c r="O34" s="15"/>
      <c r="P34" s="15"/>
      <c r="Q34" s="2455"/>
      <c r="S34" s="1953"/>
      <c r="T34" s="1282"/>
      <c r="U34" s="1284">
        <v>15</v>
      </c>
      <c r="V34" s="19" t="s">
        <v>2236</v>
      </c>
      <c r="W34" s="1963"/>
      <c r="X34" s="331">
        <f>(W34/W55)*X20</f>
        <v>0</v>
      </c>
      <c r="Y34" s="18" t="str">
        <f>IF(ISBLANK(S34),"",(S34/W55)*X20)</f>
        <v/>
      </c>
      <c r="Z34" s="594">
        <f t="shared" si="10"/>
        <v>0</v>
      </c>
      <c r="AA34" s="1365">
        <f>W34/W55</f>
        <v>0</v>
      </c>
      <c r="AB34" s="630"/>
      <c r="AC34" s="624">
        <f>AB20</f>
        <v>0</v>
      </c>
      <c r="AD34" s="624">
        <f t="shared" si="7"/>
        <v>0</v>
      </c>
      <c r="AE34" s="1366">
        <f t="shared" si="8"/>
        <v>1</v>
      </c>
      <c r="AG34" s="623">
        <f>((W34/W20)*AI20)</f>
        <v>0</v>
      </c>
      <c r="AH34" s="18">
        <f>IF(ISTEXT(S34),S34,IF(ISBLANK(S34),0,(S34/W20)*AI20))</f>
        <v>0</v>
      </c>
      <c r="AI34" s="17">
        <f t="shared" si="2"/>
        <v>0</v>
      </c>
      <c r="AJ34" s="1413">
        <f t="shared" si="3"/>
        <v>0</v>
      </c>
      <c r="AK34" s="646">
        <f>(W34/W20)*AM20</f>
        <v>0</v>
      </c>
      <c r="AL34" s="18">
        <f>IF(ISBLANK(S34),0,(S34/W20)*AM20)</f>
        <v>0</v>
      </c>
      <c r="AM34" s="594">
        <f t="shared" si="4"/>
        <v>0</v>
      </c>
      <c r="AN34" s="646">
        <f t="shared" si="9"/>
        <v>0</v>
      </c>
      <c r="AO34" s="715">
        <f t="shared" si="5"/>
        <v>0</v>
      </c>
      <c r="AP34" s="18">
        <f>IF(ISBLANK(S34),0,(S34/W55)*AO56)</f>
        <v>0</v>
      </c>
      <c r="AQ34" s="594">
        <f t="shared" si="6"/>
        <v>0</v>
      </c>
      <c r="AR34" s="649" t="s">
        <v>588</v>
      </c>
      <c r="AS34" s="648" t="s">
        <v>589</v>
      </c>
      <c r="AT34" s="648" t="s">
        <v>587</v>
      </c>
      <c r="AU34" s="648">
        <v>3</v>
      </c>
    </row>
    <row r="35" spans="1:47" ht="18.95" customHeight="1">
      <c r="A35" s="2453"/>
      <c r="B35" s="1967">
        <f>IF(D19=1,AH35,IF(D19=2,AL35,IF(D19=3,AP35,IF(D19=4,AT35))))</f>
        <v>0</v>
      </c>
      <c r="C35" s="1438">
        <f>IF(D19=1,AI35,IF(D19=2,AM35,IF(D19=3,AQ35,IF(D19=4,AU35))))</f>
        <v>0</v>
      </c>
      <c r="D35" s="1951">
        <f>IF(D19=1,AG35,IF(D19=2,AK35,IF(D19=3,AO35,IF(D19=4,AS35))))</f>
        <v>0</v>
      </c>
      <c r="E35" s="1440" t="str">
        <f>IF(D19=1,"",IF(D35=F35,"",AD35))</f>
        <v/>
      </c>
      <c r="F35" s="1952" t="str">
        <f>IF(D19=1,"",IF(D19=2,AJ35,IF(D19=3,AN35,IF(D19=4,AR35))))</f>
        <v/>
      </c>
      <c r="G35" s="22">
        <f t="shared" si="0"/>
        <v>0</v>
      </c>
      <c r="H35" s="22"/>
      <c r="I35" s="2454"/>
      <c r="J35" s="1530">
        <v>13</v>
      </c>
      <c r="K35" s="15" t="s">
        <v>2241</v>
      </c>
      <c r="L35" s="15"/>
      <c r="M35" s="15"/>
      <c r="N35" s="15"/>
      <c r="O35" s="15"/>
      <c r="P35" s="15"/>
      <c r="Q35" s="2455"/>
      <c r="S35" s="1953"/>
      <c r="T35" s="1282"/>
      <c r="U35" s="1284"/>
      <c r="V35" s="19"/>
      <c r="W35" s="626">
        <f t="shared" si="1"/>
        <v>0</v>
      </c>
      <c r="X35" s="331">
        <f>(W35/W55)*X20</f>
        <v>0</v>
      </c>
      <c r="Y35" s="18" t="str">
        <f>IF(ISBLANK(S35),"",(S35/W55)*X20)</f>
        <v/>
      </c>
      <c r="Z35" s="594">
        <f t="shared" si="10"/>
        <v>0</v>
      </c>
      <c r="AA35" s="1365">
        <f>W35/W55</f>
        <v>0</v>
      </c>
      <c r="AB35" s="630"/>
      <c r="AC35" s="624">
        <f>AB20</f>
        <v>0</v>
      </c>
      <c r="AD35" s="624">
        <f t="shared" si="7"/>
        <v>0</v>
      </c>
      <c r="AE35" s="1366">
        <f t="shared" si="8"/>
        <v>1</v>
      </c>
      <c r="AG35" s="623">
        <f>((W35/W20)*AI20)</f>
        <v>0</v>
      </c>
      <c r="AH35" s="18">
        <f>IF(ISTEXT(S35),S35,IF(ISBLANK(S35),0,(S35/W20)*AI20))</f>
        <v>0</v>
      </c>
      <c r="AI35" s="17">
        <f t="shared" si="2"/>
        <v>0</v>
      </c>
      <c r="AJ35" s="1413">
        <f t="shared" si="3"/>
        <v>0</v>
      </c>
      <c r="AK35" s="646">
        <f>(W35/W20)*AM20</f>
        <v>0</v>
      </c>
      <c r="AL35" s="18">
        <f>IF(ISBLANK(S35),0,(S35/W20)*AM20)</f>
        <v>0</v>
      </c>
      <c r="AM35" s="594">
        <f t="shared" si="4"/>
        <v>0</v>
      </c>
      <c r="AN35" s="646">
        <f t="shared" si="9"/>
        <v>0</v>
      </c>
      <c r="AO35" s="715">
        <f t="shared" si="5"/>
        <v>0</v>
      </c>
      <c r="AP35" s="18">
        <f>IF(ISBLANK(S35),0,(S35/W55)*AO56)</f>
        <v>0</v>
      </c>
      <c r="AQ35" s="594">
        <f t="shared" si="6"/>
        <v>0</v>
      </c>
      <c r="AR35" s="649" t="s">
        <v>588</v>
      </c>
      <c r="AS35" s="648" t="s">
        <v>589</v>
      </c>
      <c r="AT35" s="648" t="s">
        <v>587</v>
      </c>
      <c r="AU35" s="648">
        <v>3</v>
      </c>
    </row>
    <row r="36" spans="1:47" ht="18.95" customHeight="1">
      <c r="A36" s="2453"/>
      <c r="B36" s="1967">
        <f>IF(D19=1,AH36,IF(D19=2,AL36,IF(D19=3,AP36,IF(D19=4,AT36))))</f>
        <v>0</v>
      </c>
      <c r="C36" s="1438">
        <f>IF(D19=1,AI36,IF(D19=2,AM36,IF(D19=3,AQ36,IF(D19=4,AU36))))</f>
        <v>0</v>
      </c>
      <c r="D36" s="1951">
        <f>IF(D19=1,AG36,IF(D19=2,AK36,IF(D19=3,AO36,IF(D19=4,AS36))))</f>
        <v>0</v>
      </c>
      <c r="E36" s="1440" t="str">
        <f>IF(D19=1,"",IF(D36=F36,"",AD36))</f>
        <v/>
      </c>
      <c r="F36" s="1952" t="str">
        <f>IF(D19=1,"",IF(D19=2,AJ36,IF(D19=3,AN36,IF(D19=4,AR36))))</f>
        <v/>
      </c>
      <c r="G36" s="22">
        <f t="shared" si="0"/>
        <v>0</v>
      </c>
      <c r="H36" s="22"/>
      <c r="I36" s="2454"/>
      <c r="J36" s="1530">
        <v>14</v>
      </c>
      <c r="K36" s="15" t="s">
        <v>2242</v>
      </c>
      <c r="L36" s="15"/>
      <c r="M36" s="15"/>
      <c r="N36" s="15"/>
      <c r="O36" s="15"/>
      <c r="P36" s="15"/>
      <c r="Q36" s="2455"/>
      <c r="S36" s="1953"/>
      <c r="T36" s="1282"/>
      <c r="U36" s="1284"/>
      <c r="V36" s="1511"/>
      <c r="W36" s="626">
        <f t="shared" si="1"/>
        <v>0</v>
      </c>
      <c r="X36" s="331">
        <f>(W36/W55)*X20</f>
        <v>0</v>
      </c>
      <c r="Y36" s="18" t="str">
        <f>IF(ISBLANK(S36),"",(S36/W55)*X20)</f>
        <v/>
      </c>
      <c r="Z36" s="594">
        <f t="shared" si="10"/>
        <v>0</v>
      </c>
      <c r="AA36" s="1365">
        <f>W36/W55</f>
        <v>0</v>
      </c>
      <c r="AB36" s="630"/>
      <c r="AC36" s="624">
        <f>AB20</f>
        <v>0</v>
      </c>
      <c r="AD36" s="624">
        <f t="shared" si="7"/>
        <v>0</v>
      </c>
      <c r="AE36" s="1366">
        <f t="shared" si="8"/>
        <v>1</v>
      </c>
      <c r="AG36" s="623">
        <f>((W36/W20)*AI20)</f>
        <v>0</v>
      </c>
      <c r="AH36" s="18">
        <f>IF(ISTEXT(S36),S36,IF(ISBLANK(S36),0,(S36/W20)*AI20))</f>
        <v>0</v>
      </c>
      <c r="AI36" s="17">
        <f t="shared" si="2"/>
        <v>0</v>
      </c>
      <c r="AJ36" s="1413">
        <f t="shared" si="3"/>
        <v>0</v>
      </c>
      <c r="AK36" s="646">
        <f>(W36/W20)*AM20</f>
        <v>0</v>
      </c>
      <c r="AL36" s="18">
        <f>IF(ISBLANK(S36),0,(S36/W20)*AM20)</f>
        <v>0</v>
      </c>
      <c r="AM36" s="594">
        <f t="shared" si="4"/>
        <v>0</v>
      </c>
      <c r="AN36" s="646">
        <f t="shared" si="9"/>
        <v>0</v>
      </c>
      <c r="AO36" s="715">
        <f t="shared" si="5"/>
        <v>0</v>
      </c>
      <c r="AP36" s="18">
        <f>IF(ISBLANK(S36),0,(S36/W55)*AO56)</f>
        <v>0</v>
      </c>
      <c r="AQ36" s="594">
        <f t="shared" si="6"/>
        <v>0</v>
      </c>
      <c r="AR36" s="649" t="s">
        <v>588</v>
      </c>
      <c r="AS36" s="648" t="s">
        <v>589</v>
      </c>
      <c r="AT36" s="648" t="s">
        <v>587</v>
      </c>
      <c r="AU36" s="648">
        <v>3</v>
      </c>
    </row>
    <row r="37" spans="1:47" ht="18.95" customHeight="1">
      <c r="A37" s="2453"/>
      <c r="B37" s="1967">
        <f>IF(D19=1,AH37,IF(D19=2,AL37,IF(D19=3,AP37,IF(D19=4,AT37))))</f>
        <v>0</v>
      </c>
      <c r="C37" s="1438">
        <f>IF(D19=1,AI37,IF(D19=2,AM37,IF(D19=3,AQ37,IF(D19=4,AU37))))</f>
        <v>0</v>
      </c>
      <c r="D37" s="1951">
        <f>IF(D19=1,AG37,IF(D19=2,AK37,IF(D19=3,AO37,IF(D19=4,AS37))))</f>
        <v>0</v>
      </c>
      <c r="E37" s="1440" t="str">
        <f>IF(D19=1,"",IF(D37=F37,"",AD37))</f>
        <v/>
      </c>
      <c r="F37" s="1952" t="str">
        <f>IF(D19=1,"",IF(D19=2,AJ37,IF(D19=3,AN37,IF(D19=4,AR37))))</f>
        <v/>
      </c>
      <c r="G37" s="22">
        <f t="shared" si="0"/>
        <v>0</v>
      </c>
      <c r="H37" s="22"/>
      <c r="I37" s="2454"/>
      <c r="J37" s="1530">
        <v>15</v>
      </c>
      <c r="K37" s="15" t="s">
        <v>2251</v>
      </c>
      <c r="L37" s="15"/>
      <c r="M37" s="15"/>
      <c r="N37" s="15"/>
      <c r="O37" s="15"/>
      <c r="P37" s="15"/>
      <c r="Q37" s="2455"/>
      <c r="S37" s="1953"/>
      <c r="T37" s="1282"/>
      <c r="U37" s="1284"/>
      <c r="V37" s="19"/>
      <c r="W37" s="626">
        <f t="shared" si="1"/>
        <v>0</v>
      </c>
      <c r="X37" s="331">
        <f>(W37/W55)*X20</f>
        <v>0</v>
      </c>
      <c r="Y37" s="18" t="str">
        <f>IF(ISBLANK(S37),"",(S37/W55)*X20)</f>
        <v/>
      </c>
      <c r="Z37" s="594">
        <f t="shared" si="10"/>
        <v>0</v>
      </c>
      <c r="AA37" s="1365">
        <f>W37/W55</f>
        <v>0</v>
      </c>
      <c r="AB37" s="630"/>
      <c r="AC37" s="624">
        <f>AB20</f>
        <v>0</v>
      </c>
      <c r="AD37" s="624">
        <f t="shared" si="7"/>
        <v>0</v>
      </c>
      <c r="AE37" s="1366">
        <f t="shared" si="8"/>
        <v>1</v>
      </c>
      <c r="AG37" s="623">
        <f>((W37/W20)*AI20)</f>
        <v>0</v>
      </c>
      <c r="AH37" s="18">
        <f>IF(ISTEXT(S37),S37,IF(ISBLANK(S37),0,(S37/W20)*AI20))</f>
        <v>0</v>
      </c>
      <c r="AI37" s="17">
        <f t="shared" si="2"/>
        <v>0</v>
      </c>
      <c r="AJ37" s="1413">
        <f t="shared" si="3"/>
        <v>0</v>
      </c>
      <c r="AK37" s="646">
        <f>(W37/W20)*AM20</f>
        <v>0</v>
      </c>
      <c r="AL37" s="18">
        <f>IF(ISBLANK(S37),0,(S37/W20)*AM20)</f>
        <v>0</v>
      </c>
      <c r="AM37" s="594">
        <f t="shared" si="4"/>
        <v>0</v>
      </c>
      <c r="AN37" s="646">
        <f t="shared" si="9"/>
        <v>0</v>
      </c>
      <c r="AO37" s="715">
        <f t="shared" si="5"/>
        <v>0</v>
      </c>
      <c r="AP37" s="18">
        <f>IF(ISBLANK(S37),0,(S37/W55)*AO56)</f>
        <v>0</v>
      </c>
      <c r="AQ37" s="594">
        <f t="shared" si="6"/>
        <v>0</v>
      </c>
      <c r="AR37" s="649" t="s">
        <v>588</v>
      </c>
      <c r="AS37" s="648" t="s">
        <v>589</v>
      </c>
      <c r="AT37" s="648" t="s">
        <v>587</v>
      </c>
      <c r="AU37" s="648">
        <v>3</v>
      </c>
    </row>
    <row r="38" spans="1:47" ht="18.95" customHeight="1">
      <c r="A38" s="2453"/>
      <c r="B38" s="1967">
        <f>IF(D19=1,AH38,IF(D19=2,AL38,IF(D19=3,AP38,IF(D19=4,AT38))))</f>
        <v>0</v>
      </c>
      <c r="C38" s="1438">
        <f>IF(D19=1,AI38,IF(D19=2,AM38,IF(D19=3,AQ38,IF(D19=4,AU38))))</f>
        <v>0</v>
      </c>
      <c r="D38" s="1951">
        <f>IF(D19=1,AG38,IF(D19=2,AK38,IF(D19=3,AO38,IF(D19=4,AS38))))</f>
        <v>0</v>
      </c>
      <c r="E38" s="1440" t="str">
        <f>IF(D19=1,"",IF(D38=F38,"",AD38))</f>
        <v/>
      </c>
      <c r="F38" s="1952" t="str">
        <f>IF(D19=1,"",IF(D19=2,AJ38,IF(D19=3,AN38,IF(D19=4,AR38))))</f>
        <v/>
      </c>
      <c r="G38" s="22">
        <f t="shared" si="0"/>
        <v>0</v>
      </c>
      <c r="H38" s="22"/>
      <c r="I38" s="2454"/>
      <c r="J38" s="1530">
        <v>16</v>
      </c>
      <c r="K38" s="15" t="s">
        <v>2261</v>
      </c>
      <c r="L38" s="15"/>
      <c r="M38" s="15"/>
      <c r="N38" s="15"/>
      <c r="O38" s="15"/>
      <c r="P38" s="15"/>
      <c r="Q38" s="2455"/>
      <c r="S38" s="1953"/>
      <c r="T38" s="1282"/>
      <c r="U38" s="1284"/>
      <c r="V38" s="19"/>
      <c r="W38" s="626">
        <f t="shared" si="1"/>
        <v>0</v>
      </c>
      <c r="X38" s="331">
        <f>(W38/W55)*X20</f>
        <v>0</v>
      </c>
      <c r="Y38" s="18" t="str">
        <f>IF(ISBLANK(S38),"",(S38/W55)*X20)</f>
        <v/>
      </c>
      <c r="Z38" s="594">
        <f t="shared" si="10"/>
        <v>0</v>
      </c>
      <c r="AA38" s="1365">
        <f>W38/W55</f>
        <v>0</v>
      </c>
      <c r="AB38" s="630"/>
      <c r="AC38" s="624">
        <f>AB20</f>
        <v>0</v>
      </c>
      <c r="AD38" s="624">
        <f t="shared" si="7"/>
        <v>0</v>
      </c>
      <c r="AE38" s="1366">
        <f t="shared" si="8"/>
        <v>1</v>
      </c>
      <c r="AG38" s="623">
        <f>((W38/W20)*AI20)</f>
        <v>0</v>
      </c>
      <c r="AH38" s="18">
        <f>IF(ISTEXT(S38),S38,IF(ISBLANK(S38),0,(S38/W20)*AI20))</f>
        <v>0</v>
      </c>
      <c r="AI38" s="17">
        <f t="shared" si="2"/>
        <v>0</v>
      </c>
      <c r="AJ38" s="1413">
        <f t="shared" si="3"/>
        <v>0</v>
      </c>
      <c r="AK38" s="646">
        <f>(W38/W20)*AM20</f>
        <v>0</v>
      </c>
      <c r="AL38" s="18">
        <f>IF(ISBLANK(S38),0,(S38/W20)*AM20)</f>
        <v>0</v>
      </c>
      <c r="AM38" s="594">
        <f t="shared" si="4"/>
        <v>0</v>
      </c>
      <c r="AN38" s="646">
        <f t="shared" si="9"/>
        <v>0</v>
      </c>
      <c r="AO38" s="715">
        <f t="shared" si="5"/>
        <v>0</v>
      </c>
      <c r="AP38" s="18">
        <f>IF(ISBLANK(S38),0,(S38/W55)*AO56)</f>
        <v>0</v>
      </c>
      <c r="AQ38" s="594">
        <f t="shared" si="6"/>
        <v>0</v>
      </c>
      <c r="AR38" s="649" t="s">
        <v>588</v>
      </c>
      <c r="AS38" s="648" t="s">
        <v>589</v>
      </c>
      <c r="AT38" s="648" t="s">
        <v>587</v>
      </c>
      <c r="AU38" s="648">
        <v>3</v>
      </c>
    </row>
    <row r="39" spans="1:47" ht="18.95" customHeight="1">
      <c r="A39" s="2453"/>
      <c r="B39" s="1967">
        <f>IF(D19=1,AH39,IF(D19=2,AL39,IF(D19=3,AP39,IF(D19=4,AT39))))</f>
        <v>0</v>
      </c>
      <c r="C39" s="1438">
        <f>IF(D19=1,AI39,IF(D19=2,AM39,IF(D19=3,AQ39,IF(D19=4,AU39))))</f>
        <v>0</v>
      </c>
      <c r="D39" s="1951">
        <f>IF(D19=1,AG39,IF(D19=2,AK39,IF(D19=3,AO39,IF(D19=4,AS39))))</f>
        <v>0</v>
      </c>
      <c r="E39" s="1440" t="str">
        <f>IF(D19=1,"",IF(D39=F39,"",AD39))</f>
        <v/>
      </c>
      <c r="F39" s="1952" t="str">
        <f>IF(D19=1,"",IF(D19=2,AJ39,IF(D19=3,AN39,IF(D19=4,AR39))))</f>
        <v/>
      </c>
      <c r="G39" s="22">
        <f t="shared" si="0"/>
        <v>0</v>
      </c>
      <c r="H39" s="22"/>
      <c r="I39" s="2454"/>
      <c r="J39" s="1530">
        <v>17</v>
      </c>
      <c r="K39" s="15" t="s">
        <v>2252</v>
      </c>
      <c r="L39" s="15"/>
      <c r="M39" s="15"/>
      <c r="N39" s="15"/>
      <c r="O39" s="15"/>
      <c r="P39" s="15"/>
      <c r="Q39" s="2455"/>
      <c r="S39" s="1953"/>
      <c r="T39" s="1282"/>
      <c r="U39" s="1284"/>
      <c r="V39" s="19"/>
      <c r="W39" s="626">
        <f t="shared" si="1"/>
        <v>0</v>
      </c>
      <c r="X39" s="331">
        <f>(W39/W55)*X20</f>
        <v>0</v>
      </c>
      <c r="Y39" s="18" t="str">
        <f>IF(ISBLANK(S39),"",(S39/W55)*X20)</f>
        <v/>
      </c>
      <c r="Z39" s="594">
        <f t="shared" si="10"/>
        <v>0</v>
      </c>
      <c r="AA39" s="1365">
        <f>W39/W55</f>
        <v>0</v>
      </c>
      <c r="AB39" s="630"/>
      <c r="AC39" s="624">
        <f>AB20</f>
        <v>0</v>
      </c>
      <c r="AD39" s="624">
        <f t="shared" si="7"/>
        <v>0</v>
      </c>
      <c r="AE39" s="1366">
        <f t="shared" si="8"/>
        <v>1</v>
      </c>
      <c r="AG39" s="623">
        <f>((W39/W20)*AI20)</f>
        <v>0</v>
      </c>
      <c r="AH39" s="18">
        <f>IF(ISTEXT(S39),S39,IF(ISBLANK(S39),0,(S39/W20)*AI20))</f>
        <v>0</v>
      </c>
      <c r="AI39" s="17">
        <f t="shared" si="2"/>
        <v>0</v>
      </c>
      <c r="AJ39" s="1413">
        <f t="shared" si="3"/>
        <v>0</v>
      </c>
      <c r="AK39" s="646">
        <f>(W39/W20)*AM20</f>
        <v>0</v>
      </c>
      <c r="AL39" s="18">
        <f>IF(ISBLANK(S39),0,(S39/W20)*AM20)</f>
        <v>0</v>
      </c>
      <c r="AM39" s="594">
        <f t="shared" si="4"/>
        <v>0</v>
      </c>
      <c r="AN39" s="646">
        <f t="shared" si="9"/>
        <v>0</v>
      </c>
      <c r="AO39" s="715">
        <f t="shared" si="5"/>
        <v>0</v>
      </c>
      <c r="AP39" s="18">
        <f>IF(ISBLANK(S39),0,(S39/W55)*AO56)</f>
        <v>0</v>
      </c>
      <c r="AQ39" s="594">
        <f t="shared" si="6"/>
        <v>0</v>
      </c>
      <c r="AR39" s="649" t="s">
        <v>588</v>
      </c>
      <c r="AS39" s="648" t="s">
        <v>589</v>
      </c>
      <c r="AT39" s="648" t="s">
        <v>587</v>
      </c>
      <c r="AU39" s="648">
        <v>3</v>
      </c>
    </row>
    <row r="40" spans="1:47" ht="18.95" customHeight="1">
      <c r="A40" s="2453"/>
      <c r="B40" s="1967">
        <f>IF(D19=1,AH40,IF(D19=2,AL40,IF(D19=3,AP40,IF(D19=4,AT40))))</f>
        <v>0</v>
      </c>
      <c r="C40" s="1438">
        <f>IF(D19=1,AI40,IF(D19=2,AM40,IF(D19=3,AQ40,IF(D19=4,AU40))))</f>
        <v>0</v>
      </c>
      <c r="D40" s="1951">
        <f>IF(D19=1,AG40,IF(D19=2,AK40,IF(D19=3,AO40,IF(D19=4,AS40))))</f>
        <v>0</v>
      </c>
      <c r="E40" s="1440" t="str">
        <f>IF(D19=1,"",IF(D40=F40,"",AD40))</f>
        <v/>
      </c>
      <c r="F40" s="1952" t="str">
        <f>IF(D19=1,"",IF(D19=2,AJ40,IF(D19=3,AN40,IF(D19=4,AR40))))</f>
        <v/>
      </c>
      <c r="G40" s="22">
        <f t="shared" si="0"/>
        <v>0</v>
      </c>
      <c r="H40" s="22"/>
      <c r="I40" s="2454"/>
      <c r="J40" s="1530">
        <v>18</v>
      </c>
      <c r="K40" s="15" t="s">
        <v>2262</v>
      </c>
      <c r="L40" s="15"/>
      <c r="M40" s="15"/>
      <c r="N40" s="15"/>
      <c r="O40" s="15"/>
      <c r="P40" s="15"/>
      <c r="Q40" s="2455"/>
      <c r="S40" s="1953"/>
      <c r="T40" s="1282"/>
      <c r="U40" s="1284"/>
      <c r="V40" s="19"/>
      <c r="W40" s="626">
        <f t="shared" si="1"/>
        <v>0</v>
      </c>
      <c r="X40" s="331">
        <f>(W40/W55)*X20</f>
        <v>0</v>
      </c>
      <c r="Y40" s="18" t="str">
        <f>IF(ISBLANK(S40),"",(S40/W55)*X20)</f>
        <v/>
      </c>
      <c r="Z40" s="594">
        <f t="shared" si="10"/>
        <v>0</v>
      </c>
      <c r="AA40" s="1365">
        <f>W40/W55</f>
        <v>0</v>
      </c>
      <c r="AB40" s="630"/>
      <c r="AC40" s="624">
        <f>AB20</f>
        <v>0</v>
      </c>
      <c r="AD40" s="624">
        <f t="shared" si="7"/>
        <v>0</v>
      </c>
      <c r="AE40" s="1366">
        <f t="shared" si="8"/>
        <v>1</v>
      </c>
      <c r="AG40" s="623">
        <f>((W40/W20)*AI20)</f>
        <v>0</v>
      </c>
      <c r="AH40" s="18">
        <f>IF(ISTEXT(S40),S40,IF(ISBLANK(S40),0,(S40/W20)*AI20))</f>
        <v>0</v>
      </c>
      <c r="AI40" s="17">
        <f t="shared" si="2"/>
        <v>0</v>
      </c>
      <c r="AJ40" s="1413">
        <f t="shared" si="3"/>
        <v>0</v>
      </c>
      <c r="AK40" s="646">
        <f>(W40/W20)*AM20</f>
        <v>0</v>
      </c>
      <c r="AL40" s="18">
        <f>IF(ISBLANK(S40),0,(S40/W20)*AM20)</f>
        <v>0</v>
      </c>
      <c r="AM40" s="594">
        <f t="shared" si="4"/>
        <v>0</v>
      </c>
      <c r="AN40" s="646">
        <f t="shared" si="9"/>
        <v>0</v>
      </c>
      <c r="AO40" s="715">
        <f t="shared" si="5"/>
        <v>0</v>
      </c>
      <c r="AP40" s="18">
        <f>IF(ISBLANK(S40),0,(S40/W55)*AO56)</f>
        <v>0</v>
      </c>
      <c r="AQ40" s="594">
        <f t="shared" si="6"/>
        <v>0</v>
      </c>
      <c r="AR40" s="649" t="s">
        <v>588</v>
      </c>
      <c r="AS40" s="648" t="s">
        <v>589</v>
      </c>
      <c r="AT40" s="648" t="s">
        <v>587</v>
      </c>
      <c r="AU40" s="648">
        <v>3</v>
      </c>
    </row>
    <row r="41" spans="1:47" ht="18.95" customHeight="1">
      <c r="A41" s="2453"/>
      <c r="B41" s="1967">
        <f>IF(D19=1,AH41,IF(D19=2,AL41,IF(D19=3,AP41,IF(D19=4,AT41))))</f>
        <v>0</v>
      </c>
      <c r="C41" s="1438">
        <f>IF(D19=1,AI41,IF(D19=2,AM41,IF(D19=3,AQ41,IF(D19=4,AU41))))</f>
        <v>0</v>
      </c>
      <c r="D41" s="1951">
        <f>IF(D19=1,AG41,IF(D19=2,AK41,IF(D19=3,AO41,IF(D19=4,AS41))))</f>
        <v>0</v>
      </c>
      <c r="E41" s="1440" t="str">
        <f>IF(D19=1,"",IF(D41=F41,"",AD41))</f>
        <v/>
      </c>
      <c r="F41" s="1952" t="str">
        <f>IF(D19=1,"",IF(D19=2,AJ41,IF(D19=3,AN41,IF(D19=4,AR41))))</f>
        <v/>
      </c>
      <c r="G41" s="22">
        <f t="shared" si="0"/>
        <v>0</v>
      </c>
      <c r="H41" s="22"/>
      <c r="I41" s="2454"/>
      <c r="J41" s="1530">
        <v>19</v>
      </c>
      <c r="K41" s="15" t="s">
        <v>2243</v>
      </c>
      <c r="L41" s="15"/>
      <c r="M41" s="15"/>
      <c r="N41" s="15"/>
      <c r="O41" s="15"/>
      <c r="P41" s="15"/>
      <c r="Q41" s="2455"/>
      <c r="S41" s="1953"/>
      <c r="T41" s="1282"/>
      <c r="U41" s="1284"/>
      <c r="V41" s="19"/>
      <c r="W41" s="626">
        <f t="shared" si="1"/>
        <v>0</v>
      </c>
      <c r="X41" s="331">
        <f>(W41/W55)*X20</f>
        <v>0</v>
      </c>
      <c r="Y41" s="18" t="str">
        <f>IF(ISBLANK(S41),"",(S41/W55)*X20)</f>
        <v/>
      </c>
      <c r="Z41" s="594">
        <f t="shared" si="10"/>
        <v>0</v>
      </c>
      <c r="AA41" s="1365">
        <f>W41/W55</f>
        <v>0</v>
      </c>
      <c r="AB41" s="630"/>
      <c r="AC41" s="624">
        <f>AB20</f>
        <v>0</v>
      </c>
      <c r="AD41" s="624">
        <f t="shared" si="7"/>
        <v>0</v>
      </c>
      <c r="AE41" s="1366">
        <f t="shared" si="8"/>
        <v>1</v>
      </c>
      <c r="AG41" s="623">
        <f>((W41/W20)*AI20)</f>
        <v>0</v>
      </c>
      <c r="AH41" s="18">
        <f>IF(ISTEXT(S41),S41,IF(ISBLANK(S41),0,(S41/W20)*AI20))</f>
        <v>0</v>
      </c>
      <c r="AI41" s="17">
        <f t="shared" si="2"/>
        <v>0</v>
      </c>
      <c r="AJ41" s="1413">
        <f t="shared" si="3"/>
        <v>0</v>
      </c>
      <c r="AK41" s="646">
        <f>(W41/W20)*AM20</f>
        <v>0</v>
      </c>
      <c r="AL41" s="18">
        <f>IF(ISBLANK(S41),0,(S41/W20)*AM20)</f>
        <v>0</v>
      </c>
      <c r="AM41" s="594">
        <f t="shared" si="4"/>
        <v>0</v>
      </c>
      <c r="AN41" s="646">
        <f t="shared" si="9"/>
        <v>0</v>
      </c>
      <c r="AO41" s="715">
        <f t="shared" si="5"/>
        <v>0</v>
      </c>
      <c r="AP41" s="18">
        <f>IF(ISBLANK(S41),0,(S41/W55)*AO56)</f>
        <v>0</v>
      </c>
      <c r="AQ41" s="594">
        <f t="shared" si="6"/>
        <v>0</v>
      </c>
      <c r="AR41" s="649" t="s">
        <v>588</v>
      </c>
      <c r="AS41" s="648" t="s">
        <v>589</v>
      </c>
      <c r="AT41" s="648" t="s">
        <v>587</v>
      </c>
      <c r="AU41" s="648">
        <v>3</v>
      </c>
    </row>
    <row r="42" spans="1:47" ht="18.95" customHeight="1">
      <c r="A42" s="2453"/>
      <c r="B42" s="1967">
        <f>IF(D19=1,AH42,IF(D19=2,AL42,IF(D19=3,AP42,IF(D19=4,AT42))))</f>
        <v>0</v>
      </c>
      <c r="C42" s="1438">
        <f>IF(D19=1,AI42,IF(D19=2,AM42,IF(D19=3,AQ42,IF(D19=4,AU42))))</f>
        <v>0</v>
      </c>
      <c r="D42" s="1951">
        <f>IF(D19=1,AG42,IF(D19=2,AK42,IF(D19=3,AO42,IF(D19=4,AS42))))</f>
        <v>0</v>
      </c>
      <c r="E42" s="1440" t="str">
        <f>IF(D19=1,"",IF(D42=F42,"",AD42))</f>
        <v/>
      </c>
      <c r="F42" s="1952" t="str">
        <f>IF(D19=1,"",IF(D19=2,AJ42,IF(D19=3,AN42,IF(D19=4,AR42))))</f>
        <v/>
      </c>
      <c r="G42" s="22">
        <f t="shared" si="0"/>
        <v>0</v>
      </c>
      <c r="H42" s="22"/>
      <c r="I42" s="2454"/>
      <c r="J42" s="1530">
        <v>20</v>
      </c>
      <c r="K42" s="15"/>
      <c r="L42" s="15"/>
      <c r="M42" s="15"/>
      <c r="N42" s="15"/>
      <c r="O42" s="15"/>
      <c r="P42" s="15"/>
      <c r="Q42" s="2455"/>
      <c r="S42" s="1953"/>
      <c r="T42" s="1282"/>
      <c r="U42" s="1284"/>
      <c r="V42" s="19"/>
      <c r="W42" s="626">
        <f t="shared" si="1"/>
        <v>0</v>
      </c>
      <c r="X42" s="331">
        <f>(W42/W55)*X20</f>
        <v>0</v>
      </c>
      <c r="Y42" s="18" t="str">
        <f>IF(ISBLANK(S42),"",(S42/W55)*X20)</f>
        <v/>
      </c>
      <c r="Z42" s="594">
        <f t="shared" si="10"/>
        <v>0</v>
      </c>
      <c r="AA42" s="1365">
        <f>W42/W55</f>
        <v>0</v>
      </c>
      <c r="AB42" s="630"/>
      <c r="AC42" s="624">
        <f>AB20</f>
        <v>0</v>
      </c>
      <c r="AD42" s="624">
        <f t="shared" si="7"/>
        <v>0</v>
      </c>
      <c r="AE42" s="1366">
        <f t="shared" si="8"/>
        <v>1</v>
      </c>
      <c r="AG42" s="623">
        <f>((W42/W20)*AI20)</f>
        <v>0</v>
      </c>
      <c r="AH42" s="18">
        <f>IF(ISTEXT(S42),S42,IF(ISBLANK(S42),0,(S42/W20)*AI20))</f>
        <v>0</v>
      </c>
      <c r="AI42" s="17">
        <f t="shared" si="2"/>
        <v>0</v>
      </c>
      <c r="AJ42" s="1413">
        <f t="shared" si="3"/>
        <v>0</v>
      </c>
      <c r="AK42" s="646">
        <f>(W42/W20)*AM20</f>
        <v>0</v>
      </c>
      <c r="AL42" s="18">
        <f>IF(ISBLANK(S42),0,(S42/W20)*AM20)</f>
        <v>0</v>
      </c>
      <c r="AM42" s="594">
        <f t="shared" si="4"/>
        <v>0</v>
      </c>
      <c r="AN42" s="646">
        <f t="shared" si="9"/>
        <v>0</v>
      </c>
      <c r="AO42" s="715">
        <f t="shared" si="5"/>
        <v>0</v>
      </c>
      <c r="AP42" s="18">
        <f>IF(ISBLANK(S42),0,(S42/W55)*AO56)</f>
        <v>0</v>
      </c>
      <c r="AQ42" s="594">
        <f t="shared" si="6"/>
        <v>0</v>
      </c>
      <c r="AR42" s="649" t="s">
        <v>588</v>
      </c>
      <c r="AS42" s="648" t="s">
        <v>589</v>
      </c>
      <c r="AT42" s="648" t="s">
        <v>587</v>
      </c>
      <c r="AU42" s="648">
        <v>3</v>
      </c>
    </row>
    <row r="43" spans="1:47" ht="18.95" customHeight="1">
      <c r="A43" s="2453"/>
      <c r="B43" s="1967">
        <f>IF(D19=1,AH43,IF(D19=2,AL43,IF(D19=3,AP43,IF(D19=4,AT43))))</f>
        <v>0</v>
      </c>
      <c r="C43" s="1438">
        <f>IF(D19=1,AI43,IF(D19=2,AM43,IF(D19=3,AQ43,IF(D19=4,AU43))))</f>
        <v>0</v>
      </c>
      <c r="D43" s="1951">
        <f>IF(D19=1,AG43,IF(D19=2,AK43,IF(D19=3,AO43,IF(D19=4,AS43))))</f>
        <v>0</v>
      </c>
      <c r="E43" s="1440" t="str">
        <f>IF(D19=1,"",IF(D43=F43,"",AD43))</f>
        <v/>
      </c>
      <c r="F43" s="1952" t="str">
        <f>IF(D19=1,"",IF(D19=2,AJ43,IF(D19=3,AN43,IF(D19=4,AR43))))</f>
        <v/>
      </c>
      <c r="G43" s="22">
        <f t="shared" si="0"/>
        <v>0</v>
      </c>
      <c r="H43" s="22"/>
      <c r="I43" s="2454"/>
      <c r="J43" s="1530">
        <v>21</v>
      </c>
      <c r="K43" s="15" t="s">
        <v>2244</v>
      </c>
      <c r="L43" s="15"/>
      <c r="M43" s="15"/>
      <c r="N43" s="15"/>
      <c r="O43" s="15"/>
      <c r="P43" s="15"/>
      <c r="Q43" s="2455"/>
      <c r="S43" s="1953"/>
      <c r="T43" s="1282"/>
      <c r="U43" s="1284"/>
      <c r="V43" s="19"/>
      <c r="W43" s="626">
        <f t="shared" si="1"/>
        <v>0</v>
      </c>
      <c r="X43" s="331">
        <f>(W43/W55)*X20</f>
        <v>0</v>
      </c>
      <c r="Y43" s="18" t="str">
        <f>IF(ISBLANK(S43),"",(S43/W55)*X20)</f>
        <v/>
      </c>
      <c r="Z43" s="594">
        <f t="shared" si="10"/>
        <v>0</v>
      </c>
      <c r="AA43" s="1365">
        <f>W43/W55</f>
        <v>0</v>
      </c>
      <c r="AB43" s="630"/>
      <c r="AC43" s="624">
        <f>AB20</f>
        <v>0</v>
      </c>
      <c r="AD43" s="624">
        <f t="shared" si="7"/>
        <v>0</v>
      </c>
      <c r="AE43" s="1366">
        <f t="shared" si="8"/>
        <v>1</v>
      </c>
      <c r="AG43" s="623">
        <f>((W43/W20)*AI20)</f>
        <v>0</v>
      </c>
      <c r="AH43" s="18">
        <f>IF(ISTEXT(S43),S43,IF(ISBLANK(S43),0,(S43/W20)*AI20))</f>
        <v>0</v>
      </c>
      <c r="AI43" s="17">
        <f t="shared" si="2"/>
        <v>0</v>
      </c>
      <c r="AJ43" s="1413">
        <f t="shared" si="3"/>
        <v>0</v>
      </c>
      <c r="AK43" s="646">
        <f>(W43/W20)*AM20</f>
        <v>0</v>
      </c>
      <c r="AL43" s="18">
        <f>IF(ISBLANK(S43),0,(S43/W20)*AM20)</f>
        <v>0</v>
      </c>
      <c r="AM43" s="594">
        <f t="shared" si="4"/>
        <v>0</v>
      </c>
      <c r="AN43" s="646">
        <f t="shared" si="9"/>
        <v>0</v>
      </c>
      <c r="AO43" s="715">
        <f t="shared" si="5"/>
        <v>0</v>
      </c>
      <c r="AP43" s="18">
        <f>IF(ISBLANK(S43),0,(S43/W55)*AO56)</f>
        <v>0</v>
      </c>
      <c r="AQ43" s="594">
        <f t="shared" si="6"/>
        <v>0</v>
      </c>
      <c r="AR43" s="649" t="s">
        <v>588</v>
      </c>
      <c r="AS43" s="648" t="s">
        <v>589</v>
      </c>
      <c r="AT43" s="648" t="s">
        <v>587</v>
      </c>
      <c r="AU43" s="648">
        <v>3</v>
      </c>
    </row>
    <row r="44" spans="1:47" ht="18.95" customHeight="1">
      <c r="A44" s="2453"/>
      <c r="B44" s="1967">
        <f>IF(D19=1,AH44,IF(D19=2,AL44,IF(D19=3,AP44,IF(D19=4,AT44))))</f>
        <v>0</v>
      </c>
      <c r="C44" s="1438">
        <f>IF(D19=1,AI44,IF(D19=2,AM44,IF(D19=3,AQ44,IF(D19=4,AU44))))</f>
        <v>0</v>
      </c>
      <c r="D44" s="1951">
        <f>IF(D19=1,AG44,IF(D19=2,AK44,IF(D19=3,AO44,IF(D19=4,AS44))))</f>
        <v>0</v>
      </c>
      <c r="E44" s="1440" t="str">
        <f>IF(D19=1,"",IF(D44=F44,"",AD44))</f>
        <v/>
      </c>
      <c r="F44" s="1952" t="str">
        <f>IF(D19=1,"",IF(D19=2,AJ44,IF(D19=3,AN44,IF(D19=4,AR44))))</f>
        <v/>
      </c>
      <c r="G44" s="22">
        <f t="shared" si="0"/>
        <v>0</v>
      </c>
      <c r="H44" s="22"/>
      <c r="I44" s="2454"/>
      <c r="J44" s="1530">
        <v>22</v>
      </c>
      <c r="K44" s="15" t="s">
        <v>2253</v>
      </c>
      <c r="L44" s="15"/>
      <c r="M44" s="15"/>
      <c r="N44" s="15"/>
      <c r="O44" s="15"/>
      <c r="P44" s="15"/>
      <c r="Q44" s="2455"/>
      <c r="S44" s="1953"/>
      <c r="T44" s="1282"/>
      <c r="U44" s="1284"/>
      <c r="V44" s="19"/>
      <c r="W44" s="626">
        <f t="shared" si="1"/>
        <v>0</v>
      </c>
      <c r="X44" s="331">
        <f>(W44/W55)*X20</f>
        <v>0</v>
      </c>
      <c r="Y44" s="18" t="str">
        <f>IF(ISBLANK(S44),"",(S44/W55)*X20)</f>
        <v/>
      </c>
      <c r="Z44" s="594">
        <f t="shared" si="10"/>
        <v>0</v>
      </c>
      <c r="AA44" s="1365">
        <f>W44/W55</f>
        <v>0</v>
      </c>
      <c r="AB44" s="630"/>
      <c r="AC44" s="624">
        <f>AB20</f>
        <v>0</v>
      </c>
      <c r="AD44" s="624">
        <f t="shared" si="7"/>
        <v>0</v>
      </c>
      <c r="AE44" s="1366">
        <f t="shared" si="8"/>
        <v>1</v>
      </c>
      <c r="AG44" s="623">
        <f>((W44/W20)*AI20)</f>
        <v>0</v>
      </c>
      <c r="AH44" s="18">
        <f>IF(ISTEXT(S44),S44,IF(ISBLANK(S44),0,(S44/W20)*AI20))</f>
        <v>0</v>
      </c>
      <c r="AI44" s="17">
        <f t="shared" si="2"/>
        <v>0</v>
      </c>
      <c r="AJ44" s="1413">
        <f t="shared" si="3"/>
        <v>0</v>
      </c>
      <c r="AK44" s="646">
        <f>(W44/W20)*AM20</f>
        <v>0</v>
      </c>
      <c r="AL44" s="18">
        <f>IF(ISBLANK(S44),0,(S44/W20)*AM20)</f>
        <v>0</v>
      </c>
      <c r="AM44" s="594">
        <f t="shared" si="4"/>
        <v>0</v>
      </c>
      <c r="AN44" s="646">
        <f t="shared" si="9"/>
        <v>0</v>
      </c>
      <c r="AO44" s="715">
        <f t="shared" si="5"/>
        <v>0</v>
      </c>
      <c r="AP44" s="18">
        <f>IF(ISBLANK(S44),0,(S44/W55)*AO56)</f>
        <v>0</v>
      </c>
      <c r="AQ44" s="594">
        <f t="shared" si="6"/>
        <v>0</v>
      </c>
      <c r="AR44" s="649" t="s">
        <v>588</v>
      </c>
      <c r="AS44" s="648" t="s">
        <v>589</v>
      </c>
      <c r="AT44" s="648" t="s">
        <v>587</v>
      </c>
      <c r="AU44" s="648">
        <v>3</v>
      </c>
    </row>
    <row r="45" spans="1:47" ht="18.95" customHeight="1">
      <c r="A45" s="2453"/>
      <c r="B45" s="1967">
        <f>IF(D19=1,AH45,IF(D19=2,AL45,IF(D19=3,AP45,IF(D19=4,AT45))))</f>
        <v>0</v>
      </c>
      <c r="C45" s="1438">
        <f>IF(D19=1,AI45,IF(D19=2,AM45,IF(D19=3,AQ45,IF(D19=4,AU45))))</f>
        <v>0</v>
      </c>
      <c r="D45" s="1951">
        <f>IF(D19=1,AG45,IF(D19=2,AK45,IF(D19=3,AO45,IF(D19=4,AS45))))</f>
        <v>0</v>
      </c>
      <c r="E45" s="1440" t="str">
        <f>IF(D19=1,"",IF(D45=F45,"",AD45))</f>
        <v/>
      </c>
      <c r="F45" s="1952" t="str">
        <f>IF(D19=1,"",IF(D19=2,AJ45,IF(D19=3,AN45,IF(D19=4,AR45))))</f>
        <v/>
      </c>
      <c r="G45" s="22">
        <f t="shared" si="0"/>
        <v>0</v>
      </c>
      <c r="H45" s="22"/>
      <c r="I45" s="2454"/>
      <c r="J45" s="1530">
        <v>23</v>
      </c>
      <c r="K45" s="15" t="s">
        <v>2254</v>
      </c>
      <c r="L45" s="15"/>
      <c r="M45" s="15"/>
      <c r="N45" s="15"/>
      <c r="O45" s="15"/>
      <c r="P45" s="15"/>
      <c r="Q45" s="2455"/>
      <c r="S45" s="1953"/>
      <c r="T45" s="1282"/>
      <c r="U45" s="1284"/>
      <c r="V45" s="19"/>
      <c r="W45" s="626">
        <f t="shared" si="1"/>
        <v>0</v>
      </c>
      <c r="X45" s="331">
        <f>(W45/W55)*X20</f>
        <v>0</v>
      </c>
      <c r="Y45" s="18" t="str">
        <f>IF(ISBLANK(S45),"",(S45/W55)*X20)</f>
        <v/>
      </c>
      <c r="Z45" s="594">
        <f t="shared" si="10"/>
        <v>0</v>
      </c>
      <c r="AA45" s="1365">
        <f>W45/W55</f>
        <v>0</v>
      </c>
      <c r="AB45" s="630"/>
      <c r="AC45" s="624">
        <f>AB20</f>
        <v>0</v>
      </c>
      <c r="AD45" s="624">
        <f t="shared" si="7"/>
        <v>0</v>
      </c>
      <c r="AE45" s="1366">
        <f t="shared" si="8"/>
        <v>1</v>
      </c>
      <c r="AG45" s="623">
        <f>((W45/W20)*AI20)</f>
        <v>0</v>
      </c>
      <c r="AH45" s="18">
        <f>IF(ISTEXT(S45),S45,IF(ISBLANK(S45),0,(S45/W20)*AI20))</f>
        <v>0</v>
      </c>
      <c r="AI45" s="17">
        <f t="shared" si="2"/>
        <v>0</v>
      </c>
      <c r="AJ45" s="1413">
        <f t="shared" si="3"/>
        <v>0</v>
      </c>
      <c r="AK45" s="646">
        <f>(W45/W20)*AM20</f>
        <v>0</v>
      </c>
      <c r="AL45" s="18">
        <f>IF(ISBLANK(S45),0,(S45/W20)*AM20)</f>
        <v>0</v>
      </c>
      <c r="AM45" s="594">
        <f t="shared" si="4"/>
        <v>0</v>
      </c>
      <c r="AN45" s="646">
        <f t="shared" si="9"/>
        <v>0</v>
      </c>
      <c r="AO45" s="715">
        <f t="shared" si="5"/>
        <v>0</v>
      </c>
      <c r="AP45" s="18">
        <f>IF(ISBLANK(S45),0,(S45/W55)*AO56)</f>
        <v>0</v>
      </c>
      <c r="AQ45" s="594">
        <f t="shared" si="6"/>
        <v>0</v>
      </c>
      <c r="AR45" s="649" t="s">
        <v>588</v>
      </c>
      <c r="AS45" s="648" t="s">
        <v>589</v>
      </c>
      <c r="AT45" s="648" t="s">
        <v>587</v>
      </c>
      <c r="AU45" s="648">
        <v>3</v>
      </c>
    </row>
    <row r="46" spans="1:47" ht="18.95" customHeight="1">
      <c r="A46" s="2453"/>
      <c r="B46" s="1967">
        <f>IF(D19=1,AH46,IF(D19=2,AL46,IF(D19=3,AP46,IF(D19=4,AT46))))</f>
        <v>0</v>
      </c>
      <c r="C46" s="1438">
        <f>IF(D19=1,AI46,IF(D19=2,AM46,IF(D19=3,AQ46,IF(D19=4,AU46))))</f>
        <v>0</v>
      </c>
      <c r="D46" s="1951">
        <f>IF(D19=1,AG46,IF(D19=2,AK46,IF(D19=3,AO46,IF(D19=4,AS46))))</f>
        <v>0</v>
      </c>
      <c r="E46" s="1440" t="str">
        <f>IF(D19=1,"",IF(D46=F46,"",AD46))</f>
        <v/>
      </c>
      <c r="F46" s="1952" t="str">
        <f>IF(D19=1,"",IF(D19=2,AJ46,IF(D19=3,AN46,IF(D19=4,AR46))))</f>
        <v/>
      </c>
      <c r="G46" s="22">
        <f t="shared" si="0"/>
        <v>0</v>
      </c>
      <c r="H46" s="22"/>
      <c r="I46" s="2454"/>
      <c r="J46" s="1530">
        <v>24</v>
      </c>
      <c r="K46" s="15" t="s">
        <v>2255</v>
      </c>
      <c r="L46" s="15"/>
      <c r="M46" s="15"/>
      <c r="N46" s="15"/>
      <c r="O46" s="15"/>
      <c r="P46" s="15"/>
      <c r="Q46" s="2455"/>
      <c r="S46" s="1953"/>
      <c r="T46" s="1282"/>
      <c r="U46" s="1284"/>
      <c r="V46" s="19"/>
      <c r="W46" s="626">
        <f t="shared" si="1"/>
        <v>0</v>
      </c>
      <c r="X46" s="331">
        <f>(W46/W55)*X20</f>
        <v>0</v>
      </c>
      <c r="Y46" s="18" t="str">
        <f>IF(ISBLANK(S46),"",(S46/W55)*X20)</f>
        <v/>
      </c>
      <c r="Z46" s="594">
        <f t="shared" si="10"/>
        <v>0</v>
      </c>
      <c r="AA46" s="1365">
        <f>W46/W55</f>
        <v>0</v>
      </c>
      <c r="AB46" s="630"/>
      <c r="AC46" s="624">
        <f>AB20</f>
        <v>0</v>
      </c>
      <c r="AD46" s="624">
        <f t="shared" si="7"/>
        <v>0</v>
      </c>
      <c r="AE46" s="1366">
        <f t="shared" si="8"/>
        <v>1</v>
      </c>
      <c r="AG46" s="623">
        <f>((W46/W20)*AI20)</f>
        <v>0</v>
      </c>
      <c r="AH46" s="18">
        <f>IF(ISTEXT(S46),S46,IF(ISBLANK(S46),0,(S46/W20)*AI20))</f>
        <v>0</v>
      </c>
      <c r="AI46" s="17">
        <f t="shared" si="2"/>
        <v>0</v>
      </c>
      <c r="AJ46" s="1413">
        <f t="shared" si="3"/>
        <v>0</v>
      </c>
      <c r="AK46" s="646">
        <f>(W46/W20)*AM20</f>
        <v>0</v>
      </c>
      <c r="AL46" s="18">
        <f>IF(ISBLANK(S46),0,(S46/W20)*AM20)</f>
        <v>0</v>
      </c>
      <c r="AM46" s="594">
        <f t="shared" si="4"/>
        <v>0</v>
      </c>
      <c r="AN46" s="646">
        <f t="shared" si="9"/>
        <v>0</v>
      </c>
      <c r="AO46" s="715">
        <f t="shared" si="5"/>
        <v>0</v>
      </c>
      <c r="AP46" s="18">
        <f>IF(ISBLANK(S46),0,(S46/W55)*AO56)</f>
        <v>0</v>
      </c>
      <c r="AQ46" s="594">
        <f t="shared" si="6"/>
        <v>0</v>
      </c>
      <c r="AR46" s="649" t="s">
        <v>588</v>
      </c>
      <c r="AS46" s="648" t="s">
        <v>589</v>
      </c>
      <c r="AT46" s="648" t="s">
        <v>587</v>
      </c>
      <c r="AU46" s="648">
        <v>3</v>
      </c>
    </row>
    <row r="47" spans="1:47" ht="18.95" customHeight="1">
      <c r="A47" s="2453"/>
      <c r="B47" s="1967">
        <f>IF(D19=1,AH47,IF(D19=2,AL47,IF(D19=3,AP47,IF(D19=4,AT47))))</f>
        <v>0</v>
      </c>
      <c r="C47" s="1438">
        <f>IF(D19=1,AI47,IF(D19=2,AM47,IF(D19=3,AQ47,IF(D19=4,AU47))))</f>
        <v>0</v>
      </c>
      <c r="D47" s="1951">
        <f>IF(D19=1,AG47,IF(D19=2,AK47,IF(D19=3,AO47,IF(D19=4,AS47))))</f>
        <v>0</v>
      </c>
      <c r="E47" s="1440" t="str">
        <f>IF(D19=1,"",IF(D47=F47,"",AD47))</f>
        <v/>
      </c>
      <c r="F47" s="1952" t="str">
        <f>IF(D19=1,"",IF(D19=2,AJ47,IF(D19=3,AN47,IF(D19=4,AR47))))</f>
        <v/>
      </c>
      <c r="G47" s="22">
        <f t="shared" si="0"/>
        <v>0</v>
      </c>
      <c r="H47" s="22"/>
      <c r="I47" s="2454"/>
      <c r="J47" s="1530">
        <v>25</v>
      </c>
      <c r="K47" s="15" t="s">
        <v>2256</v>
      </c>
      <c r="L47" s="15"/>
      <c r="M47" s="15"/>
      <c r="N47" s="15"/>
      <c r="O47" s="15"/>
      <c r="P47" s="15"/>
      <c r="Q47" s="2455"/>
      <c r="S47" s="1953"/>
      <c r="T47" s="1282"/>
      <c r="U47" s="1284"/>
      <c r="V47" s="19"/>
      <c r="W47" s="626">
        <f t="shared" si="1"/>
        <v>0</v>
      </c>
      <c r="X47" s="331">
        <f>(W47/W55)*X20</f>
        <v>0</v>
      </c>
      <c r="Y47" s="18" t="str">
        <f>IF(ISBLANK(S47),"",(S47/W55)*X20)</f>
        <v/>
      </c>
      <c r="Z47" s="594">
        <f t="shared" si="10"/>
        <v>0</v>
      </c>
      <c r="AA47" s="1365">
        <f>W47/W55</f>
        <v>0</v>
      </c>
      <c r="AB47" s="630"/>
      <c r="AC47" s="624">
        <f>AB20</f>
        <v>0</v>
      </c>
      <c r="AD47" s="624">
        <f t="shared" si="7"/>
        <v>0</v>
      </c>
      <c r="AE47" s="1366">
        <f t="shared" si="8"/>
        <v>1</v>
      </c>
      <c r="AG47" s="623">
        <f>((W47/W20)*AI20)</f>
        <v>0</v>
      </c>
      <c r="AH47" s="18">
        <f>IF(ISTEXT(S47),S47,IF(ISBLANK(S47),0,(S47/W20)*AI20))</f>
        <v>0</v>
      </c>
      <c r="AI47" s="17">
        <f t="shared" si="2"/>
        <v>0</v>
      </c>
      <c r="AJ47" s="1413">
        <f t="shared" si="3"/>
        <v>0</v>
      </c>
      <c r="AK47" s="646">
        <f>(W47/W20)*AM20</f>
        <v>0</v>
      </c>
      <c r="AL47" s="18">
        <f>IF(ISBLANK(S47),0,(S47/W20)*AM20)</f>
        <v>0</v>
      </c>
      <c r="AM47" s="594">
        <f t="shared" si="4"/>
        <v>0</v>
      </c>
      <c r="AN47" s="646">
        <f t="shared" si="9"/>
        <v>0</v>
      </c>
      <c r="AO47" s="715">
        <f t="shared" si="5"/>
        <v>0</v>
      </c>
      <c r="AP47" s="18">
        <f>IF(ISBLANK(S47),0,(S47/W55)*AO56)</f>
        <v>0</v>
      </c>
      <c r="AQ47" s="594">
        <f t="shared" si="6"/>
        <v>0</v>
      </c>
      <c r="AR47" s="649" t="s">
        <v>588</v>
      </c>
      <c r="AS47" s="648" t="s">
        <v>589</v>
      </c>
      <c r="AT47" s="648" t="s">
        <v>587</v>
      </c>
      <c r="AU47" s="648">
        <v>3</v>
      </c>
    </row>
    <row r="48" spans="1:47" ht="18.95" customHeight="1">
      <c r="A48" s="2453"/>
      <c r="B48" s="1967">
        <f>IF(D19=1,AH48,IF(D19=2,AL48,IF(D19=3,AP48,IF(D19=4,AT48))))</f>
        <v>0</v>
      </c>
      <c r="C48" s="1438">
        <f>IF(D19=1,AI48,IF(D19=2,AM48,IF(D19=3,AQ48,IF(D19=4,AU48))))</f>
        <v>0</v>
      </c>
      <c r="D48" s="1951">
        <f>IF(D19=1,AG48,IF(D19=2,AK48,IF(D19=3,AO48,IF(D19=4,AS48))))</f>
        <v>0</v>
      </c>
      <c r="E48" s="1440" t="str">
        <f>IF(D19=1,"",IF(D48=F48,"",AD48))</f>
        <v/>
      </c>
      <c r="F48" s="1952" t="str">
        <f>IF(D19=1,"",IF(D19=2,AJ48,IF(D19=3,AN48,IF(D19=4,AR48))))</f>
        <v/>
      </c>
      <c r="G48" s="22">
        <f t="shared" si="0"/>
        <v>0</v>
      </c>
      <c r="H48" s="22"/>
      <c r="I48" s="2454"/>
      <c r="J48" s="1530">
        <v>26</v>
      </c>
      <c r="K48" s="15"/>
      <c r="L48" s="15"/>
      <c r="M48" s="15"/>
      <c r="N48" s="15"/>
      <c r="O48" s="15"/>
      <c r="P48" s="15"/>
      <c r="Q48" s="2455"/>
      <c r="S48" s="1953"/>
      <c r="T48" s="1282"/>
      <c r="U48" s="1284"/>
      <c r="V48" s="19"/>
      <c r="W48" s="626">
        <f t="shared" si="1"/>
        <v>0</v>
      </c>
      <c r="X48" s="331">
        <f>(W48/W55)*X20</f>
        <v>0</v>
      </c>
      <c r="Y48" s="18" t="str">
        <f>IF(ISBLANK(S48),"",(S48/W55)*X20)</f>
        <v/>
      </c>
      <c r="Z48" s="594">
        <f t="shared" si="10"/>
        <v>0</v>
      </c>
      <c r="AA48" s="1365">
        <f>W48/W55</f>
        <v>0</v>
      </c>
      <c r="AB48" s="630"/>
      <c r="AC48" s="624">
        <f>AB20</f>
        <v>0</v>
      </c>
      <c r="AD48" s="624">
        <f t="shared" si="7"/>
        <v>0</v>
      </c>
      <c r="AE48" s="1366">
        <f t="shared" si="8"/>
        <v>1</v>
      </c>
      <c r="AG48" s="623">
        <f>((W48/W20)*AI20)</f>
        <v>0</v>
      </c>
      <c r="AH48" s="18">
        <f>IF(ISTEXT(S48),S48,IF(ISBLANK(S48),0,(S48/W20)*AI20))</f>
        <v>0</v>
      </c>
      <c r="AI48" s="17">
        <f t="shared" si="2"/>
        <v>0</v>
      </c>
      <c r="AJ48" s="1413">
        <f t="shared" si="3"/>
        <v>0</v>
      </c>
      <c r="AK48" s="646">
        <f>(W48/W20)*AM20</f>
        <v>0</v>
      </c>
      <c r="AL48" s="18">
        <f>IF(ISBLANK(S48),0,(S48/W20)*AM20)</f>
        <v>0</v>
      </c>
      <c r="AM48" s="594">
        <f t="shared" si="4"/>
        <v>0</v>
      </c>
      <c r="AN48" s="646">
        <f t="shared" si="9"/>
        <v>0</v>
      </c>
      <c r="AO48" s="715">
        <f t="shared" si="5"/>
        <v>0</v>
      </c>
      <c r="AP48" s="18">
        <f>IF(ISBLANK(S48),0,(S48/W55)*AO56)</f>
        <v>0</v>
      </c>
      <c r="AQ48" s="594">
        <f t="shared" si="6"/>
        <v>0</v>
      </c>
      <c r="AR48" s="649" t="s">
        <v>588</v>
      </c>
      <c r="AS48" s="648" t="s">
        <v>589</v>
      </c>
      <c r="AT48" s="648" t="s">
        <v>587</v>
      </c>
      <c r="AU48" s="648">
        <v>3</v>
      </c>
    </row>
    <row r="49" spans="1:47" ht="18.95" customHeight="1">
      <c r="A49" s="2453"/>
      <c r="B49" s="1967">
        <f>IF(D19=1,AH49,IF(D19=2,AL49,IF(D19=3,AP49,IF(D19=4,AT49))))</f>
        <v>0</v>
      </c>
      <c r="C49" s="1438">
        <f>IF(D19=1,AI49,IF(D19=2,AM49,IF(D19=3,AQ49,IF(D19=4,AU49))))</f>
        <v>0</v>
      </c>
      <c r="D49" s="1951">
        <f>IF(D19=1,AG49,IF(D19=2,AK49,IF(D19=3,AO49,IF(D19=4,AS49))))</f>
        <v>0</v>
      </c>
      <c r="E49" s="1440" t="str">
        <f>IF(D19=1,"",IF(D49=F49,"",AD49))</f>
        <v/>
      </c>
      <c r="F49" s="1952" t="str">
        <f>IF(D19=1,"",IF(D19=2,AJ49,IF(D19=3,AN49,IF(D19=4,AR49))))</f>
        <v/>
      </c>
      <c r="G49" s="22">
        <f t="shared" si="0"/>
        <v>0</v>
      </c>
      <c r="H49" s="22"/>
      <c r="I49" s="2454"/>
      <c r="J49" s="1530">
        <v>27</v>
      </c>
      <c r="K49" s="15"/>
      <c r="L49" s="15"/>
      <c r="M49" s="15"/>
      <c r="N49" s="15"/>
      <c r="O49" s="15"/>
      <c r="P49" s="15"/>
      <c r="Q49" s="2455"/>
      <c r="S49" s="1953"/>
      <c r="T49" s="1282"/>
      <c r="U49" s="1284"/>
      <c r="V49" s="19"/>
      <c r="W49" s="626">
        <f t="shared" si="1"/>
        <v>0</v>
      </c>
      <c r="X49" s="331">
        <f>(W49/W55)*X20</f>
        <v>0</v>
      </c>
      <c r="Y49" s="18" t="str">
        <f>IF(ISBLANK(S49),"",(S49/W55)*X20)</f>
        <v/>
      </c>
      <c r="Z49" s="594">
        <f t="shared" si="10"/>
        <v>0</v>
      </c>
      <c r="AA49" s="1365">
        <f>W49/W55</f>
        <v>0</v>
      </c>
      <c r="AB49" s="630"/>
      <c r="AC49" s="624">
        <f>AB20</f>
        <v>0</v>
      </c>
      <c r="AD49" s="624">
        <f t="shared" si="7"/>
        <v>0</v>
      </c>
      <c r="AE49" s="1366">
        <f t="shared" si="8"/>
        <v>1</v>
      </c>
      <c r="AG49" s="623">
        <f>((W49/W20)*AI20)</f>
        <v>0</v>
      </c>
      <c r="AH49" s="18">
        <f>IF(ISTEXT(S49),S49,IF(ISBLANK(S49),0,(S49/W20)*AI20))</f>
        <v>0</v>
      </c>
      <c r="AI49" s="17">
        <f t="shared" si="2"/>
        <v>0</v>
      </c>
      <c r="AJ49" s="1413">
        <f t="shared" si="3"/>
        <v>0</v>
      </c>
      <c r="AK49" s="646">
        <f>(W49/W20)*AM20</f>
        <v>0</v>
      </c>
      <c r="AL49" s="18">
        <f>IF(ISBLANK(S49),0,(S49/W20)*AM20)</f>
        <v>0</v>
      </c>
      <c r="AM49" s="594">
        <f t="shared" si="4"/>
        <v>0</v>
      </c>
      <c r="AN49" s="646">
        <f t="shared" si="9"/>
        <v>0</v>
      </c>
      <c r="AO49" s="715">
        <f t="shared" si="5"/>
        <v>0</v>
      </c>
      <c r="AP49" s="18">
        <f>IF(ISBLANK(S49),0,(S49/W55)*AO56)</f>
        <v>0</v>
      </c>
      <c r="AQ49" s="594">
        <f t="shared" si="6"/>
        <v>0</v>
      </c>
      <c r="AR49" s="649" t="s">
        <v>588</v>
      </c>
      <c r="AS49" s="648" t="s">
        <v>589</v>
      </c>
      <c r="AT49" s="648" t="s">
        <v>587</v>
      </c>
      <c r="AU49" s="648">
        <v>3</v>
      </c>
    </row>
    <row r="50" spans="1:47" ht="18.95" customHeight="1">
      <c r="A50" s="2453"/>
      <c r="B50" s="1967">
        <f>IF(D19=1,AH50,IF(D19=2,AL50,IF(D19=3,AP50,IF(D19=4,AT50))))</f>
        <v>0</v>
      </c>
      <c r="C50" s="1438">
        <f>IF(D19=1,AI50,IF(D19=2,AM50,IF(D19=3,AQ50,IF(D19=4,AU50))))</f>
        <v>0</v>
      </c>
      <c r="D50" s="1951">
        <f>IF(D19=1,AG50,IF(D19=2,AK50,IF(D19=3,AO50,IF(D19=4,AS50))))</f>
        <v>0</v>
      </c>
      <c r="E50" s="1440" t="str">
        <f>IF(D19=1,"",IF(D50=F50,"",AD50))</f>
        <v/>
      </c>
      <c r="F50" s="1952" t="str">
        <f>IF(D19=1,"",IF(D19=2,AJ50,IF(D19=3,AN50,IF(D19=4,AR50))))</f>
        <v/>
      </c>
      <c r="G50" s="22">
        <f t="shared" si="0"/>
        <v>0</v>
      </c>
      <c r="H50" s="22"/>
      <c r="I50" s="2454"/>
      <c r="J50" s="1530">
        <v>28</v>
      </c>
      <c r="K50" s="15"/>
      <c r="L50" s="15"/>
      <c r="M50" s="15"/>
      <c r="N50" s="15"/>
      <c r="O50" s="15"/>
      <c r="P50" s="15"/>
      <c r="Q50" s="2455"/>
      <c r="S50" s="1953"/>
      <c r="T50" s="1282"/>
      <c r="U50" s="1284"/>
      <c r="V50" s="19"/>
      <c r="W50" s="626">
        <f t="shared" si="1"/>
        <v>0</v>
      </c>
      <c r="X50" s="331">
        <f>(W50/W55)*X20</f>
        <v>0</v>
      </c>
      <c r="Y50" s="18" t="str">
        <f>IF(ISBLANK(S50),"",(S50/W55)*X20)</f>
        <v/>
      </c>
      <c r="Z50" s="594">
        <f t="shared" si="10"/>
        <v>0</v>
      </c>
      <c r="AA50" s="1365">
        <f>W50/W55</f>
        <v>0</v>
      </c>
      <c r="AB50" s="630"/>
      <c r="AC50" s="624">
        <f>AB20</f>
        <v>0</v>
      </c>
      <c r="AD50" s="624">
        <f t="shared" si="7"/>
        <v>0</v>
      </c>
      <c r="AE50" s="1366">
        <f t="shared" si="8"/>
        <v>1</v>
      </c>
      <c r="AG50" s="623">
        <f>((W50/W20)*AI20)</f>
        <v>0</v>
      </c>
      <c r="AH50" s="18">
        <f>IF(ISTEXT(S50),S50,IF(ISBLANK(S50),0,(S50/W20)*AI20))</f>
        <v>0</v>
      </c>
      <c r="AI50" s="17">
        <f t="shared" si="2"/>
        <v>0</v>
      </c>
      <c r="AJ50" s="1413">
        <f t="shared" si="3"/>
        <v>0</v>
      </c>
      <c r="AK50" s="646">
        <f>(W50/W20)*AM20</f>
        <v>0</v>
      </c>
      <c r="AL50" s="18">
        <f>IF(ISBLANK(S50),0,(S50/W20)*AM20)</f>
        <v>0</v>
      </c>
      <c r="AM50" s="594">
        <f t="shared" si="4"/>
        <v>0</v>
      </c>
      <c r="AN50" s="646">
        <f t="shared" si="9"/>
        <v>0</v>
      </c>
      <c r="AO50" s="715">
        <f t="shared" si="5"/>
        <v>0</v>
      </c>
      <c r="AP50" s="18">
        <f>IF(ISBLANK(S50),0,(S50/W55)*AO56)</f>
        <v>0</v>
      </c>
      <c r="AQ50" s="594">
        <f t="shared" si="6"/>
        <v>0</v>
      </c>
      <c r="AR50" s="649" t="s">
        <v>588</v>
      </c>
      <c r="AS50" s="648" t="s">
        <v>589</v>
      </c>
      <c r="AT50" s="648" t="s">
        <v>587</v>
      </c>
      <c r="AU50" s="648">
        <v>3</v>
      </c>
    </row>
    <row r="51" spans="1:47" ht="18.95" customHeight="1">
      <c r="A51" s="2453"/>
      <c r="B51" s="1967">
        <f>IF(D19=1,AH51,IF(D19=2,AL51,IF(D19=3,AP51,IF(D19=4,AT51))))</f>
        <v>0</v>
      </c>
      <c r="C51" s="1438">
        <f>IF(D19=1,AI51,IF(D19=2,AM51,IF(D19=3,AQ51,IF(D19=4,AU51))))</f>
        <v>0</v>
      </c>
      <c r="D51" s="1951">
        <f>IF(D19=1,AG51,IF(D19=2,AK51,IF(D19=3,AO51,IF(D19=4,AS51))))</f>
        <v>0</v>
      </c>
      <c r="E51" s="1440" t="str">
        <f>IF(D19=1,"",IF(D51=F51,"",AD51))</f>
        <v/>
      </c>
      <c r="F51" s="1952" t="str">
        <f>IF(D19=1,"",IF(D19=2,AJ51,IF(D19=3,AN51,IF(D19=4,AR51))))</f>
        <v/>
      </c>
      <c r="G51" s="22">
        <f t="shared" si="0"/>
        <v>0</v>
      </c>
      <c r="H51" s="22"/>
      <c r="I51" s="2454"/>
      <c r="J51" s="1530">
        <v>29</v>
      </c>
      <c r="K51" s="15"/>
      <c r="L51" s="15"/>
      <c r="M51" s="15"/>
      <c r="N51" s="15"/>
      <c r="O51" s="15"/>
      <c r="P51" s="15"/>
      <c r="Q51" s="2455"/>
      <c r="S51" s="1953"/>
      <c r="T51" s="1282"/>
      <c r="U51" s="1284"/>
      <c r="V51" s="19"/>
      <c r="W51" s="626">
        <f t="shared" si="1"/>
        <v>0</v>
      </c>
      <c r="X51" s="331">
        <f>(W51/W55)*X20</f>
        <v>0</v>
      </c>
      <c r="Y51" s="18" t="str">
        <f>IF(ISBLANK(S51),"",(S51/W55)*X20)</f>
        <v/>
      </c>
      <c r="Z51" s="594">
        <f t="shared" si="10"/>
        <v>0</v>
      </c>
      <c r="AA51" s="1365">
        <f>W51/W55</f>
        <v>0</v>
      </c>
      <c r="AB51" s="630"/>
      <c r="AC51" s="624">
        <f>AB20</f>
        <v>0</v>
      </c>
      <c r="AD51" s="624">
        <f t="shared" si="7"/>
        <v>0</v>
      </c>
      <c r="AE51" s="1366">
        <f t="shared" si="8"/>
        <v>1</v>
      </c>
      <c r="AG51" s="623">
        <f>((W51/W20)*AI20)</f>
        <v>0</v>
      </c>
      <c r="AH51" s="18">
        <f>IF(ISTEXT(S51),S51,IF(ISBLANK(S51),0,(S51/W20)*AI20))</f>
        <v>0</v>
      </c>
      <c r="AI51" s="17">
        <f t="shared" si="2"/>
        <v>0</v>
      </c>
      <c r="AJ51" s="1413">
        <f t="shared" si="3"/>
        <v>0</v>
      </c>
      <c r="AK51" s="646">
        <f>(W51/W20)*AM20</f>
        <v>0</v>
      </c>
      <c r="AL51" s="18">
        <f>IF(ISBLANK(S51),0,(S51/W20)*AM20)</f>
        <v>0</v>
      </c>
      <c r="AM51" s="594">
        <f t="shared" si="4"/>
        <v>0</v>
      </c>
      <c r="AN51" s="646">
        <f t="shared" si="9"/>
        <v>0</v>
      </c>
      <c r="AO51" s="715">
        <f t="shared" si="5"/>
        <v>0</v>
      </c>
      <c r="AP51" s="18">
        <f>IF(ISBLANK(S51),0,(S51/W55)*AO56)</f>
        <v>0</v>
      </c>
      <c r="AQ51" s="594">
        <f t="shared" si="6"/>
        <v>0</v>
      </c>
      <c r="AR51" s="649" t="s">
        <v>588</v>
      </c>
      <c r="AS51" s="648" t="s">
        <v>589</v>
      </c>
      <c r="AT51" s="648" t="s">
        <v>587</v>
      </c>
      <c r="AU51" s="648">
        <v>3</v>
      </c>
    </row>
    <row r="52" spans="1:47" ht="18.95" customHeight="1">
      <c r="A52" s="2453"/>
      <c r="B52" s="1967">
        <f>IF(D19=1,AH52,IF(D19=2,AL52,IF(D19=3,AP52,IF(D19=4,AT52))))</f>
        <v>0</v>
      </c>
      <c r="C52" s="1438">
        <f>IF(D19=1,AI52,IF(D19=2,AM52,IF(D19=3,AQ52,IF(D19=4,AU52))))</f>
        <v>0</v>
      </c>
      <c r="D52" s="1951">
        <f>IF(D19=1,AG52,IF(D19=2,AK52,IF(D19=3,AO52,IF(D19=4,AS52))))</f>
        <v>0</v>
      </c>
      <c r="E52" s="1440" t="str">
        <f>IF(D19=1,"",IF(D52=F52,"",AD52))</f>
        <v/>
      </c>
      <c r="F52" s="1952" t="str">
        <f>IF(D19=1,"",IF(D19=2,AJ52,IF(D19=3,AN52,IF(D19=4,AR52))))</f>
        <v/>
      </c>
      <c r="G52" s="22">
        <f t="shared" si="0"/>
        <v>0</v>
      </c>
      <c r="H52" s="22"/>
      <c r="I52" s="2454"/>
      <c r="J52" s="1530">
        <v>30</v>
      </c>
      <c r="K52" s="15"/>
      <c r="L52" s="15"/>
      <c r="M52" s="15"/>
      <c r="N52" s="15"/>
      <c r="O52" s="15"/>
      <c r="P52" s="15"/>
      <c r="Q52" s="2455"/>
      <c r="S52" s="1953"/>
      <c r="T52" s="1282"/>
      <c r="U52" s="1284"/>
      <c r="V52" s="19"/>
      <c r="W52" s="626">
        <f t="shared" si="1"/>
        <v>0</v>
      </c>
      <c r="X52" s="331">
        <f>(W52/W55)*X20</f>
        <v>0</v>
      </c>
      <c r="Y52" s="18" t="str">
        <f>IF(ISBLANK(S52),"",(S52/W55)*X20)</f>
        <v/>
      </c>
      <c r="Z52" s="594">
        <f t="shared" si="10"/>
        <v>0</v>
      </c>
      <c r="AA52" s="1365">
        <f>W52/W55</f>
        <v>0</v>
      </c>
      <c r="AB52" s="630"/>
      <c r="AC52" s="624">
        <f>AB20</f>
        <v>0</v>
      </c>
      <c r="AD52" s="624">
        <f t="shared" si="7"/>
        <v>0</v>
      </c>
      <c r="AE52" s="1366">
        <f t="shared" si="8"/>
        <v>1</v>
      </c>
      <c r="AG52" s="623">
        <f>((W52/W20)*AI20)</f>
        <v>0</v>
      </c>
      <c r="AH52" s="18">
        <f>IF(ISTEXT(S52),S52,IF(ISBLANK(S52),0,(S52/W20)*AI20))</f>
        <v>0</v>
      </c>
      <c r="AI52" s="17">
        <f t="shared" si="2"/>
        <v>0</v>
      </c>
      <c r="AJ52" s="1413">
        <f t="shared" si="3"/>
        <v>0</v>
      </c>
      <c r="AK52" s="646">
        <f>(W52/W20)*AM20</f>
        <v>0</v>
      </c>
      <c r="AL52" s="18">
        <f>IF(ISBLANK(S52),0,(S52/W20)*AM20)</f>
        <v>0</v>
      </c>
      <c r="AM52" s="594">
        <f t="shared" si="4"/>
        <v>0</v>
      </c>
      <c r="AN52" s="646">
        <f t="shared" si="9"/>
        <v>0</v>
      </c>
      <c r="AO52" s="715">
        <f t="shared" si="5"/>
        <v>0</v>
      </c>
      <c r="AP52" s="18">
        <f t="shared" ref="AP52:AP54" si="11">IF(ISBLANK(S52),0,(S52/W56)*AO57)</f>
        <v>0</v>
      </c>
      <c r="AQ52" s="594">
        <f t="shared" si="6"/>
        <v>0</v>
      </c>
      <c r="AR52" s="649" t="s">
        <v>588</v>
      </c>
      <c r="AS52" s="648" t="s">
        <v>589</v>
      </c>
      <c r="AT52" s="648" t="s">
        <v>587</v>
      </c>
      <c r="AU52" s="648">
        <v>3</v>
      </c>
    </row>
    <row r="53" spans="1:47" ht="18.95" customHeight="1">
      <c r="A53" s="2453"/>
      <c r="B53" s="1967">
        <f>IF(D19=1,AH53,IF(D19=2,AL53,IF(D19=3,AP53,IF(D19=4,AT53))))</f>
        <v>0</v>
      </c>
      <c r="C53" s="1438">
        <f>IF(D19=1,AI53,IF(D19=2,AM53,IF(D19=3,AQ53,IF(D19=4,AU53))))</f>
        <v>0</v>
      </c>
      <c r="D53" s="1951">
        <f>IF(D19=1,AG53,IF(D19=2,AK53,IF(D19=3,AO53,IF(D19=4,AS53))))</f>
        <v>0</v>
      </c>
      <c r="E53" s="1440" t="str">
        <f>IF(D19=1,"",IF(D53=F53,"",AD53))</f>
        <v/>
      </c>
      <c r="F53" s="1952" t="str">
        <f>IF(D19=1,"",IF(D19=2,AJ53,IF(D19=3,AN53,IF(D19=4,AR53))))</f>
        <v/>
      </c>
      <c r="G53" s="22">
        <f t="shared" si="0"/>
        <v>0</v>
      </c>
      <c r="H53" s="22"/>
      <c r="I53" s="2454"/>
      <c r="J53" s="1530">
        <v>31</v>
      </c>
      <c r="K53" s="21" t="s">
        <v>28</v>
      </c>
      <c r="L53" s="15"/>
      <c r="M53" s="15"/>
      <c r="N53" s="15"/>
      <c r="O53" s="15"/>
      <c r="P53" s="15"/>
      <c r="Q53" s="2455"/>
      <c r="S53" s="1953"/>
      <c r="T53" s="1282"/>
      <c r="U53" s="1284"/>
      <c r="V53" s="19"/>
      <c r="W53" s="626">
        <f t="shared" si="1"/>
        <v>0</v>
      </c>
      <c r="X53" s="331">
        <f>(W53/W55)*X20</f>
        <v>0</v>
      </c>
      <c r="Y53" s="18" t="str">
        <f>IF(ISBLANK(S53),"",(S53/W55)*X20)</f>
        <v/>
      </c>
      <c r="Z53" s="594">
        <f t="shared" si="10"/>
        <v>0</v>
      </c>
      <c r="AA53" s="1365">
        <f>W53/W55</f>
        <v>0</v>
      </c>
      <c r="AB53" s="630"/>
      <c r="AC53" s="624">
        <f>AB20</f>
        <v>0</v>
      </c>
      <c r="AD53" s="624">
        <f t="shared" si="7"/>
        <v>0</v>
      </c>
      <c r="AE53" s="1366">
        <f t="shared" si="8"/>
        <v>1</v>
      </c>
      <c r="AG53" s="623">
        <f>((W53/W20)*AI20)</f>
        <v>0</v>
      </c>
      <c r="AH53" s="18">
        <f>IF(ISTEXT(S53),S53,IF(ISBLANK(S53),0,(S53/W20)*AI20))</f>
        <v>0</v>
      </c>
      <c r="AI53" s="17">
        <f t="shared" si="2"/>
        <v>0</v>
      </c>
      <c r="AJ53" s="1413">
        <f t="shared" si="3"/>
        <v>0</v>
      </c>
      <c r="AK53" s="646">
        <f>(W53/W20)*AM20</f>
        <v>0</v>
      </c>
      <c r="AL53" s="18">
        <f>IF(ISBLANK(S53),0,(S53/W20)*AM20)</f>
        <v>0</v>
      </c>
      <c r="AM53" s="594">
        <f t="shared" si="4"/>
        <v>0</v>
      </c>
      <c r="AN53" s="646">
        <f t="shared" si="9"/>
        <v>0</v>
      </c>
      <c r="AO53" s="715">
        <f t="shared" si="5"/>
        <v>0</v>
      </c>
      <c r="AP53" s="18">
        <f t="shared" si="11"/>
        <v>0</v>
      </c>
      <c r="AQ53" s="594">
        <f t="shared" si="6"/>
        <v>0</v>
      </c>
      <c r="AR53" s="649" t="s">
        <v>588</v>
      </c>
      <c r="AS53" s="648" t="s">
        <v>589</v>
      </c>
      <c r="AT53" s="648" t="s">
        <v>587</v>
      </c>
      <c r="AU53" s="648">
        <v>3</v>
      </c>
    </row>
    <row r="54" spans="1:47" ht="18.95" customHeight="1">
      <c r="A54" s="2453"/>
      <c r="B54" s="1437">
        <f>IF(D19=1,AH54,IF(D19=2,AL54,IF(D19=3,AP54,IF(D19=4,AT54))))</f>
        <v>0</v>
      </c>
      <c r="C54" s="1438">
        <f>IF(D19=1,AI54,IF(D19=2,AM54,IF(D19=3,AQ54,IF(D19=4,AU54))))</f>
        <v>0</v>
      </c>
      <c r="D54" s="1951">
        <f>IF(D19=1,AG54,IF(D19=2,AK54,IF(D19=3,AO54,IF(D19=4,AS54))))</f>
        <v>0</v>
      </c>
      <c r="E54" s="1440" t="str">
        <f>IF(D19=1,"",IF(D54=F54,"",AD54))</f>
        <v/>
      </c>
      <c r="F54" s="1952" t="str">
        <f>IF(D19=1,"",IF(D19=2,AJ54,IF(D19=3,AN54,IF(D19=4,AR54))))</f>
        <v/>
      </c>
      <c r="G54" s="22">
        <f t="shared" si="0"/>
        <v>0</v>
      </c>
      <c r="H54" s="22"/>
      <c r="I54" s="2454"/>
      <c r="J54" s="1530">
        <v>32</v>
      </c>
      <c r="K54" s="16" t="s">
        <v>23</v>
      </c>
      <c r="L54" s="15"/>
      <c r="M54" s="15"/>
      <c r="N54" s="15"/>
      <c r="O54" s="15"/>
      <c r="P54" s="15"/>
      <c r="Q54" s="2455"/>
      <c r="S54" s="1953"/>
      <c r="T54" s="1282"/>
      <c r="U54" s="1284"/>
      <c r="V54" s="19"/>
      <c r="W54" s="626">
        <f t="shared" si="1"/>
        <v>0</v>
      </c>
      <c r="X54" s="331">
        <f>(W54/W55)*X20</f>
        <v>0</v>
      </c>
      <c r="Y54" s="18" t="str">
        <f>IF(ISBLANK(S54),"",(S54/W55)*X20)</f>
        <v/>
      </c>
      <c r="Z54" s="594">
        <f t="shared" si="10"/>
        <v>0</v>
      </c>
      <c r="AA54" s="1365">
        <f>W54/W55</f>
        <v>0</v>
      </c>
      <c r="AB54" s="630"/>
      <c r="AC54" s="624">
        <f>AB20</f>
        <v>0</v>
      </c>
      <c r="AD54" s="624">
        <f t="shared" si="7"/>
        <v>0</v>
      </c>
      <c r="AE54" s="1366">
        <f t="shared" si="8"/>
        <v>1</v>
      </c>
      <c r="AF54" s="344"/>
      <c r="AG54" s="623">
        <f>((W54/W20)*AI20)</f>
        <v>0</v>
      </c>
      <c r="AH54" s="18">
        <f>IF(ISTEXT(S54),S54,IF(ISBLANK(S54),0,(S54/W20)*AI20))</f>
        <v>0</v>
      </c>
      <c r="AI54" s="17">
        <f t="shared" si="2"/>
        <v>0</v>
      </c>
      <c r="AJ54" s="1413">
        <f t="shared" si="3"/>
        <v>0</v>
      </c>
      <c r="AK54" s="646">
        <f>(W54/W20)*AM20</f>
        <v>0</v>
      </c>
      <c r="AL54" s="18">
        <f>IF(ISBLANK(S54),0,(S54/W20)*AM20)</f>
        <v>0</v>
      </c>
      <c r="AM54" s="594">
        <f t="shared" si="4"/>
        <v>0</v>
      </c>
      <c r="AN54" s="646">
        <f t="shared" si="9"/>
        <v>0</v>
      </c>
      <c r="AO54" s="715">
        <f t="shared" si="5"/>
        <v>0</v>
      </c>
      <c r="AP54" s="18">
        <f t="shared" si="11"/>
        <v>0</v>
      </c>
      <c r="AQ54" s="594">
        <f t="shared" si="6"/>
        <v>0</v>
      </c>
      <c r="AR54" s="649" t="s">
        <v>588</v>
      </c>
      <c r="AS54" s="648" t="s">
        <v>589</v>
      </c>
      <c r="AT54" s="648" t="s">
        <v>587</v>
      </c>
      <c r="AU54" s="648">
        <v>3</v>
      </c>
    </row>
    <row r="55" spans="1:47" ht="19.5" customHeight="1">
      <c r="A55" s="2453"/>
      <c r="B55" s="1954" t="s">
        <v>22</v>
      </c>
      <c r="C55" s="606" t="s">
        <v>575</v>
      </c>
      <c r="D55" s="606" t="s">
        <v>585</v>
      </c>
      <c r="E55" s="635" t="s">
        <v>583</v>
      </c>
      <c r="F55" s="606" t="s">
        <v>584</v>
      </c>
      <c r="G55" s="606"/>
      <c r="H55" s="606"/>
      <c r="I55" s="2454"/>
      <c r="J55" s="1530">
        <v>33</v>
      </c>
      <c r="K55" s="8" t="s">
        <v>15</v>
      </c>
      <c r="L55" s="7" t="s">
        <v>9</v>
      </c>
      <c r="M55" s="7"/>
      <c r="N55" s="7"/>
      <c r="O55" s="6"/>
      <c r="P55" s="15"/>
      <c r="Q55" s="2455"/>
      <c r="S55" s="1537"/>
      <c r="T55" s="13"/>
      <c r="U55" s="1964">
        <f>SUM(U22:U31)/1000</f>
        <v>0.78154999999999997</v>
      </c>
      <c r="V55" s="13"/>
      <c r="W55" s="1965">
        <f>SUM(W22:W31)</f>
        <v>851.55</v>
      </c>
      <c r="X55" s="597"/>
      <c r="Y55" s="597"/>
      <c r="Z55" s="598"/>
      <c r="AA55" s="1966">
        <f>SUM(AA22:AA54)</f>
        <v>1</v>
      </c>
      <c r="AB55" s="1296">
        <f>COUNTIF(AD22:AD51,"&gt;0")</f>
        <v>0</v>
      </c>
      <c r="AC55" s="631"/>
      <c r="AD55" s="621"/>
      <c r="AE55" s="598"/>
      <c r="AG55" s="607" t="s">
        <v>22</v>
      </c>
      <c r="AH55" s="621"/>
      <c r="AI55" s="621"/>
      <c r="AJ55" s="607" t="s">
        <v>22</v>
      </c>
      <c r="AK55" s="606" t="s">
        <v>22</v>
      </c>
      <c r="AL55" s="606" t="s">
        <v>225</v>
      </c>
      <c r="AM55" s="604" t="s">
        <v>575</v>
      </c>
      <c r="AN55" s="607" t="s">
        <v>22</v>
      </c>
      <c r="AO55" s="606" t="s">
        <v>22</v>
      </c>
      <c r="AP55" s="606" t="s">
        <v>225</v>
      </c>
      <c r="AQ55" s="604" t="s">
        <v>575</v>
      </c>
      <c r="AR55" s="606"/>
      <c r="AS55" s="618"/>
      <c r="AT55" s="606"/>
      <c r="AU55" s="606"/>
    </row>
    <row r="56" spans="1:47" ht="19.5" customHeight="1">
      <c r="A56" s="2453"/>
      <c r="B56" s="1955">
        <f>SUM(B22:B54)</f>
        <v>12</v>
      </c>
      <c r="C56" s="3" t="str">
        <f>IF((F56)=0,"",(D56-F56))</f>
        <v/>
      </c>
      <c r="D56" s="3">
        <f>SUM(D22:D54)</f>
        <v>851.55</v>
      </c>
      <c r="E56" s="636" t="e">
        <f>C56/D56</f>
        <v>#VALUE!</v>
      </c>
      <c r="F56" s="3">
        <f>SUM(F22:F54)</f>
        <v>0</v>
      </c>
      <c r="G56" s="1429" t="s">
        <v>1727</v>
      </c>
      <c r="H56" s="606"/>
      <c r="I56" s="2454"/>
      <c r="J56" s="606"/>
      <c r="K56" s="606"/>
      <c r="L56" s="606"/>
      <c r="M56" s="606"/>
      <c r="N56" s="606"/>
      <c r="O56" s="606"/>
      <c r="P56" s="606"/>
      <c r="Q56" s="2455"/>
      <c r="S56" s="2437" t="s">
        <v>6</v>
      </c>
      <c r="T56" s="1368" t="s">
        <v>5</v>
      </c>
      <c r="U56" s="1921" t="s">
        <v>2225</v>
      </c>
      <c r="V56" s="1368"/>
      <c r="W56" s="780"/>
      <c r="X56" s="3">
        <f>SUM(X22:X30)</f>
        <v>986.43649815043159</v>
      </c>
      <c r="Y56" s="5">
        <f>SUM(Y22:Y55)</f>
        <v>14.091949973577595</v>
      </c>
      <c r="Z56" s="599" t="s">
        <v>14</v>
      </c>
      <c r="AA56" s="633"/>
      <c r="AB56" s="1956">
        <f>COUNTIF(AD22:AD54,"&gt;0")</f>
        <v>0</v>
      </c>
      <c r="AC56" s="1299"/>
      <c r="AD56" s="4"/>
      <c r="AE56" s="599"/>
      <c r="AG56" s="647">
        <f>SUM(AG22:AG54)</f>
        <v>851.55</v>
      </c>
      <c r="AH56" s="4"/>
      <c r="AI56" s="4"/>
      <c r="AJ56" s="647">
        <f>SUM(AJ22:AJ54)</f>
        <v>851.55</v>
      </c>
      <c r="AK56" s="3">
        <f>SUM(AK22:AK54)</f>
        <v>851.55</v>
      </c>
      <c r="AL56" s="605">
        <f>(AM56/AK56%)</f>
        <v>0</v>
      </c>
      <c r="AM56" s="596">
        <f>AK56-AJ56</f>
        <v>0</v>
      </c>
      <c r="AN56" s="595">
        <f>SUM(AN22:AN54)</f>
        <v>851.55</v>
      </c>
      <c r="AO56" s="3">
        <f>SUM(AO22:AO54)</f>
        <v>851.55</v>
      </c>
      <c r="AP56" s="717">
        <f>(AQ56/AO56%)</f>
        <v>0</v>
      </c>
      <c r="AQ56" s="596">
        <f>AO56-AN56</f>
        <v>0</v>
      </c>
      <c r="AR56" s="650"/>
      <c r="AS56" s="651"/>
      <c r="AT56" s="650"/>
      <c r="AU56" s="652"/>
    </row>
    <row r="57" spans="1:47" ht="19.5" customHeight="1" thickBot="1">
      <c r="A57" s="2453"/>
      <c r="B57" s="1957"/>
      <c r="C57" s="1508"/>
      <c r="D57" s="1508"/>
      <c r="E57" s="1508"/>
      <c r="F57" s="1508"/>
      <c r="G57" s="1508"/>
      <c r="H57" s="1958"/>
      <c r="I57" s="2454"/>
      <c r="J57" s="1957"/>
      <c r="K57" s="1508"/>
      <c r="L57" s="1508"/>
      <c r="M57" s="1508"/>
      <c r="N57" s="1508"/>
      <c r="O57" s="1508"/>
      <c r="P57" s="1958"/>
      <c r="Q57" s="1087" t="s">
        <v>818</v>
      </c>
      <c r="S57" s="2438"/>
      <c r="T57" s="1285" t="s">
        <v>5</v>
      </c>
      <c r="U57" s="1285"/>
      <c r="V57" s="1285"/>
      <c r="W57" s="1920"/>
      <c r="X57" s="1487"/>
      <c r="Y57" s="1488"/>
      <c r="Z57" s="1489"/>
      <c r="AA57" s="1489"/>
      <c r="AB57" s="1490"/>
      <c r="AC57" s="1490"/>
      <c r="AD57" s="1489"/>
      <c r="AE57" s="1491"/>
      <c r="AG57" s="1492"/>
      <c r="AH57" s="1489"/>
      <c r="AI57" s="1491"/>
      <c r="AJ57" s="1489"/>
      <c r="AK57" s="1489"/>
      <c r="AL57" s="1489"/>
      <c r="AM57" s="1491"/>
      <c r="AN57" s="1489"/>
      <c r="AO57" s="1489"/>
      <c r="AP57" s="1489"/>
      <c r="AQ57" s="1491"/>
      <c r="AR57" s="1489"/>
      <c r="AS57" s="1489"/>
      <c r="AT57" s="1489"/>
      <c r="AU57" s="1489"/>
    </row>
    <row r="58" spans="1:47" ht="30" customHeight="1" thickBot="1"/>
    <row r="59" spans="1:47" ht="23.25">
      <c r="S59" s="1323" t="str">
        <f>ADDRESS(ROW(),COLUMN(),4)</f>
        <v>S59</v>
      </c>
      <c r="T59" s="2439" t="s">
        <v>1569</v>
      </c>
      <c r="U59" s="2439"/>
      <c r="V59" s="2439"/>
      <c r="W59" s="2440"/>
      <c r="Y59" s="2413" t="s">
        <v>726</v>
      </c>
      <c r="Z59" s="2414"/>
      <c r="AA59" s="2414"/>
      <c r="AB59" s="2414"/>
      <c r="AC59" s="2414"/>
      <c r="AD59" s="2415"/>
    </row>
    <row r="60" spans="1:47">
      <c r="S60" s="1322" t="s">
        <v>1705</v>
      </c>
      <c r="T60" s="2441"/>
      <c r="U60" s="2441"/>
      <c r="V60" s="2441"/>
      <c r="W60" s="2442"/>
      <c r="Y60" s="2416" t="s">
        <v>722</v>
      </c>
      <c r="Z60" s="2417"/>
      <c r="AA60" s="725" t="s">
        <v>725</v>
      </c>
      <c r="AB60" s="1945" t="s">
        <v>721</v>
      </c>
      <c r="AC60" s="2418" t="s">
        <v>66</v>
      </c>
      <c r="AD60" s="2419"/>
    </row>
    <row r="61" spans="1:47">
      <c r="S61" s="2380" t="s">
        <v>144</v>
      </c>
      <c r="T61" s="2381"/>
      <c r="U61" s="2381"/>
      <c r="V61" s="2381"/>
      <c r="W61" s="2382"/>
      <c r="Y61" s="2429">
        <v>20</v>
      </c>
      <c r="Z61" s="2424">
        <f>Y61/100</f>
        <v>0.2</v>
      </c>
      <c r="AA61" s="1068" t="s">
        <v>206</v>
      </c>
      <c r="AB61" s="724">
        <v>1</v>
      </c>
      <c r="AC61" s="1107">
        <f>(Y61*AB61)*10</f>
        <v>200</v>
      </c>
      <c r="AD61" s="1109">
        <f>AC61/1000</f>
        <v>0.2</v>
      </c>
    </row>
    <row r="62" spans="1:47">
      <c r="S62" s="2380"/>
      <c r="T62" s="2381"/>
      <c r="U62" s="2381"/>
      <c r="V62" s="2381"/>
      <c r="W62" s="2382"/>
      <c r="Y62" s="2429"/>
      <c r="Z62" s="2424"/>
      <c r="AA62" s="1068" t="s">
        <v>727</v>
      </c>
      <c r="AB62" s="724">
        <v>1.03</v>
      </c>
      <c r="AC62" s="1107">
        <f>(Y61*AB62)*10</f>
        <v>206</v>
      </c>
      <c r="AD62" s="1109">
        <f t="shared" ref="AD62:AD65" si="12">AC62/1000</f>
        <v>0.20599999999999999</v>
      </c>
    </row>
    <row r="63" spans="1:47">
      <c r="S63" s="2431" t="s">
        <v>1602</v>
      </c>
      <c r="T63" s="2432"/>
      <c r="U63" s="2432"/>
      <c r="V63" s="2432"/>
      <c r="W63" s="2433"/>
      <c r="Y63" s="2429"/>
      <c r="Z63" s="2424"/>
      <c r="AA63" s="1068" t="s">
        <v>728</v>
      </c>
      <c r="AB63" s="724">
        <v>1.0149999999999999</v>
      </c>
      <c r="AC63" s="1107">
        <f>(AB63*Y61)*10</f>
        <v>202.99999999999997</v>
      </c>
      <c r="AD63" s="1109">
        <f t="shared" si="12"/>
        <v>0.20299999999999996</v>
      </c>
    </row>
    <row r="64" spans="1:47">
      <c r="S64" s="2431"/>
      <c r="T64" s="2432"/>
      <c r="U64" s="2432"/>
      <c r="V64" s="2432"/>
      <c r="W64" s="2433"/>
      <c r="Y64" s="2429"/>
      <c r="Z64" s="2424"/>
      <c r="AA64" s="1068" t="s">
        <v>723</v>
      </c>
      <c r="AB64" s="724">
        <v>0.92</v>
      </c>
      <c r="AC64" s="1107">
        <f>(AB64*Y61)*10</f>
        <v>184.00000000000003</v>
      </c>
      <c r="AD64" s="1109">
        <f t="shared" si="12"/>
        <v>0.18400000000000002</v>
      </c>
    </row>
    <row r="65" spans="19:30" ht="19.5" thickBot="1">
      <c r="S65" s="2434" t="s">
        <v>1603</v>
      </c>
      <c r="T65" s="2435"/>
      <c r="U65" s="2435"/>
      <c r="V65" s="2435"/>
      <c r="W65" s="2436"/>
      <c r="Y65" s="2430"/>
      <c r="Z65" s="2425"/>
      <c r="AA65" s="1069" t="s">
        <v>724</v>
      </c>
      <c r="AB65" s="900">
        <v>0.8</v>
      </c>
      <c r="AC65" s="1108">
        <f>(AB65*Y61)*10</f>
        <v>160</v>
      </c>
      <c r="AD65" s="1110">
        <f t="shared" si="12"/>
        <v>0.16</v>
      </c>
    </row>
    <row r="66" spans="19:30" ht="19.5" thickBot="1">
      <c r="S66" s="1128"/>
      <c r="T66" s="1126"/>
      <c r="U66" s="1126"/>
      <c r="V66" s="1126"/>
      <c r="W66" s="1129"/>
    </row>
    <row r="67" spans="19:30" ht="18.75">
      <c r="S67" s="2411" t="s">
        <v>1605</v>
      </c>
      <c r="T67" s="2412"/>
      <c r="U67" s="2412"/>
      <c r="V67" s="2412"/>
      <c r="W67" s="1127" t="str">
        <f>LEFT(ADDRESS(1,COLUMN(),4),LEN(ADDRESS(1,COLUMN(),4))-1)</f>
        <v>W</v>
      </c>
      <c r="Y67" s="2413" t="s">
        <v>726</v>
      </c>
      <c r="Z67" s="2414"/>
      <c r="AA67" s="2414"/>
      <c r="AB67" s="2414"/>
      <c r="AC67" s="2414"/>
      <c r="AD67" s="2415"/>
    </row>
    <row r="68" spans="19:30">
      <c r="S68" s="734" t="s">
        <v>1593</v>
      </c>
      <c r="T68" s="1"/>
      <c r="U68" s="1"/>
      <c r="V68" s="1"/>
      <c r="W68" s="2"/>
      <c r="Y68" s="2416" t="s">
        <v>722</v>
      </c>
      <c r="Z68" s="2417"/>
      <c r="AA68" s="725" t="s">
        <v>725</v>
      </c>
      <c r="AB68" s="1945" t="s">
        <v>721</v>
      </c>
      <c r="AC68" s="2418" t="s">
        <v>66</v>
      </c>
      <c r="AD68" s="2419"/>
    </row>
    <row r="69" spans="19:30">
      <c r="S69" s="2420" t="s">
        <v>1604</v>
      </c>
      <c r="T69" s="2421"/>
      <c r="U69" s="2421"/>
      <c r="V69" s="2421"/>
      <c r="W69" s="2"/>
      <c r="Y69" s="2422">
        <v>10</v>
      </c>
      <c r="Z69" s="2424">
        <f>Y69/10</f>
        <v>1</v>
      </c>
      <c r="AA69" s="1068" t="s">
        <v>206</v>
      </c>
      <c r="AB69" s="724">
        <v>1</v>
      </c>
      <c r="AC69" s="1107">
        <f>(Y69*AB69)*100</f>
        <v>1000</v>
      </c>
      <c r="AD69" s="1109">
        <f>AC69/1000</f>
        <v>1</v>
      </c>
    </row>
    <row r="70" spans="19:30">
      <c r="S70" s="2420"/>
      <c r="T70" s="2421"/>
      <c r="U70" s="2421"/>
      <c r="V70" s="2421"/>
      <c r="W70" s="2"/>
      <c r="Y70" s="2422"/>
      <c r="Z70" s="2424"/>
      <c r="AA70" s="1068" t="s">
        <v>727</v>
      </c>
      <c r="AB70" s="724">
        <v>1.03</v>
      </c>
      <c r="AC70" s="1107">
        <f>(Y69*AB70)*100</f>
        <v>1030</v>
      </c>
      <c r="AD70" s="1109">
        <f t="shared" ref="AD70:AD73" si="13">AC70/1000</f>
        <v>1.03</v>
      </c>
    </row>
    <row r="71" spans="19:30">
      <c r="S71" s="2420"/>
      <c r="T71" s="2421"/>
      <c r="U71" s="2421"/>
      <c r="V71" s="2421"/>
      <c r="W71" s="2"/>
      <c r="Y71" s="2422"/>
      <c r="Z71" s="2424"/>
      <c r="AA71" s="1068" t="s">
        <v>728</v>
      </c>
      <c r="AB71" s="724">
        <v>1.0149999999999999</v>
      </c>
      <c r="AC71" s="1107">
        <f>(AB71*Y69)*100</f>
        <v>1014.9999999999999</v>
      </c>
      <c r="AD71" s="1109">
        <f t="shared" si="13"/>
        <v>1.0149999999999999</v>
      </c>
    </row>
    <row r="72" spans="19:30" ht="15.75">
      <c r="S72" s="1086" t="s">
        <v>1594</v>
      </c>
      <c r="T72" s="1"/>
      <c r="U72" s="1"/>
      <c r="V72" s="1"/>
      <c r="W72" s="2"/>
      <c r="Y72" s="2422"/>
      <c r="Z72" s="2424"/>
      <c r="AA72" s="1068" t="s">
        <v>723</v>
      </c>
      <c r="AB72" s="724">
        <v>0.92</v>
      </c>
      <c r="AC72" s="1107">
        <f>(AB72*Y69)*100</f>
        <v>920.00000000000011</v>
      </c>
      <c r="AD72" s="1109">
        <f t="shared" si="13"/>
        <v>0.92000000000000015</v>
      </c>
    </row>
    <row r="73" spans="19:30" ht="15.75" thickBot="1">
      <c r="S73" s="1918"/>
      <c r="T73" s="1131"/>
      <c r="U73" s="1131"/>
      <c r="V73" s="1131"/>
      <c r="W73" s="1919"/>
      <c r="Y73" s="2423"/>
      <c r="Z73" s="2425"/>
      <c r="AA73" s="1069" t="s">
        <v>724</v>
      </c>
      <c r="AB73" s="900">
        <v>0.8</v>
      </c>
      <c r="AC73" s="1108">
        <f>(AB73*Y69)*100</f>
        <v>800</v>
      </c>
      <c r="AD73" s="1110">
        <f t="shared" si="13"/>
        <v>0.8</v>
      </c>
    </row>
    <row r="74" spans="19:30" ht="18.75">
      <c r="S74" s="1093" t="s">
        <v>75</v>
      </c>
      <c r="T74" s="2379" t="s">
        <v>670</v>
      </c>
      <c r="U74" s="2379"/>
      <c r="V74" s="2379"/>
      <c r="W74" s="1603" t="str">
        <f>+ADDRESS(ROW(T14),COLUMN(T14),4)</f>
        <v>T14</v>
      </c>
    </row>
    <row r="75" spans="19:30">
      <c r="S75" s="2384" t="s">
        <v>72</v>
      </c>
      <c r="T75" s="2385" t="s">
        <v>669</v>
      </c>
      <c r="U75" s="2385"/>
      <c r="V75" s="2385"/>
      <c r="W75" s="2386" t="str">
        <f>ADDRESS(ROW(),COLUMN(T15),4)</f>
        <v>T75</v>
      </c>
    </row>
    <row r="76" spans="19:30">
      <c r="S76" s="2384"/>
      <c r="T76" s="2385"/>
      <c r="U76" s="2385"/>
      <c r="V76" s="2385"/>
      <c r="W76" s="2386"/>
    </row>
    <row r="77" spans="19:30" ht="18.75">
      <c r="S77" s="1936" t="s">
        <v>71</v>
      </c>
      <c r="T77" s="1092"/>
      <c r="U77" s="1092"/>
      <c r="V77" s="1092"/>
      <c r="W77" s="1095" t="str">
        <f>ADDRESS(ROW(),COLUMN(V16),4)</f>
        <v>V77</v>
      </c>
    </row>
    <row r="78" spans="19:30">
      <c r="S78" s="2387" t="s">
        <v>684</v>
      </c>
      <c r="T78" s="2385"/>
      <c r="U78" s="2385"/>
      <c r="V78" s="2385"/>
      <c r="W78" s="2388"/>
    </row>
    <row r="79" spans="19:30">
      <c r="S79" s="2387"/>
      <c r="T79" s="2385"/>
      <c r="U79" s="2385"/>
      <c r="V79" s="2385"/>
      <c r="W79" s="2388"/>
    </row>
    <row r="80" spans="19:30" ht="15.75">
      <c r="S80" s="1043"/>
      <c r="T80" s="1039"/>
      <c r="U80" s="1039"/>
      <c r="V80" s="1039"/>
      <c r="W80" s="1103" t="s">
        <v>1584</v>
      </c>
    </row>
    <row r="81" spans="19:23" ht="15.75">
      <c r="S81" s="2389" t="s">
        <v>62</v>
      </c>
      <c r="T81" s="2390"/>
      <c r="U81" s="2390"/>
      <c r="V81" s="2390"/>
      <c r="W81" s="2378" t="str">
        <f>LEFT(ADDRESS(1,COLUMN(V21),4),LEN(ADDRESS(1,COLUMN(),4))-1)</f>
        <v>V</v>
      </c>
    </row>
    <row r="82" spans="19:23" ht="15.75">
      <c r="S82" s="1937" t="s">
        <v>61</v>
      </c>
      <c r="T82" s="1038" t="s">
        <v>60</v>
      </c>
      <c r="U82" s="1056" t="s">
        <v>63</v>
      </c>
      <c r="V82" s="1938"/>
      <c r="W82" s="2378"/>
    </row>
    <row r="83" spans="19:23" ht="18.75">
      <c r="S83" s="1083" t="str">
        <f>LEFT(ADDRESS(1,COLUMN(S21),4),LEN(ADDRESS(1,COLUMN(),4))-1)</f>
        <v>S</v>
      </c>
      <c r="T83" s="1084" t="str">
        <f>LEFT(ADDRESS(1,COLUMN(T21),4),LEN(ADDRESS(1,COLUMN(),4))-1)</f>
        <v>T</v>
      </c>
      <c r="U83" s="1085" t="str">
        <f>LEFT(ADDRESS(1,COLUMN(U21),4),LEN(ADDRESS(1,COLUMN(),4))-1)</f>
        <v>U</v>
      </c>
      <c r="V83" s="1040"/>
      <c r="W83" s="1096"/>
    </row>
    <row r="84" spans="19:23" ht="18">
      <c r="S84" s="1044" t="s">
        <v>1562</v>
      </c>
      <c r="T84" s="1035"/>
      <c r="U84" s="1035"/>
      <c r="V84" s="1035"/>
      <c r="W84" s="1097" t="str">
        <f>ADDRESS(ROW(U22),COLUMN(U22),4)</f>
        <v>U22</v>
      </c>
    </row>
    <row r="85" spans="19:23" ht="18">
      <c r="S85" s="1045"/>
      <c r="T85" s="1041"/>
      <c r="U85" s="1041"/>
      <c r="V85" s="1041"/>
      <c r="W85" s="1098"/>
    </row>
    <row r="86" spans="19:23" ht="18.75">
      <c r="S86" s="1046" t="s">
        <v>1563</v>
      </c>
      <c r="T86" s="1047"/>
      <c r="U86" s="1047"/>
      <c r="V86" s="1047"/>
      <c r="W86" s="1099" t="str">
        <f>ADDRESS(ROW(S56),COLUMN(S56),4)</f>
        <v>S56</v>
      </c>
    </row>
    <row r="87" spans="19:23" ht="15.75">
      <c r="S87" s="1048" t="s">
        <v>2217</v>
      </c>
      <c r="T87" s="347"/>
      <c r="U87" s="347"/>
      <c r="V87" s="710"/>
      <c r="W87" s="1049"/>
    </row>
    <row r="88" spans="19:23" ht="15.75">
      <c r="S88" s="1048"/>
      <c r="T88" s="710"/>
      <c r="U88" s="710"/>
      <c r="V88" s="710"/>
      <c r="W88" s="1103" t="s">
        <v>1576</v>
      </c>
    </row>
    <row r="89" spans="19:23" ht="18.75">
      <c r="S89" s="1395" t="s">
        <v>1564</v>
      </c>
      <c r="T89" s="1349"/>
      <c r="U89" s="1349"/>
      <c r="V89" s="1349"/>
      <c r="W89" s="1396" t="str">
        <f>ADDRESS(ROW(AB20),COLUMN(AB20),4)</f>
        <v>AB20</v>
      </c>
    </row>
    <row r="90" spans="19:23" ht="18.75">
      <c r="S90" s="1066"/>
      <c r="T90" s="1067" t="s">
        <v>1583</v>
      </c>
      <c r="U90" s="710"/>
      <c r="V90" s="710"/>
      <c r="W90" s="1100"/>
    </row>
    <row r="91" spans="19:23" ht="18.75">
      <c r="S91" s="1050" t="s">
        <v>1565</v>
      </c>
      <c r="T91" s="1036"/>
      <c r="U91" s="1036"/>
      <c r="V91" s="1036"/>
      <c r="W91" s="1101" t="str">
        <f>ADDRESS(ROW(AB21),COLUMN(AB21),4)</f>
        <v>AB21</v>
      </c>
    </row>
    <row r="92" spans="19:23" ht="18.75">
      <c r="S92" s="1051"/>
      <c r="T92" s="1042"/>
      <c r="U92" s="1042"/>
      <c r="V92" s="1042"/>
      <c r="W92" s="1102"/>
    </row>
    <row r="93" spans="19:23" ht="18.75">
      <c r="S93" s="1959" t="s">
        <v>1727</v>
      </c>
      <c r="T93" s="1037"/>
      <c r="U93" s="1037"/>
      <c r="V93" s="1037"/>
      <c r="W93" s="1939" t="str">
        <f>ADDRESS(ROW(D17),COLUMN(D17),4)</f>
        <v>D17</v>
      </c>
    </row>
    <row r="94" spans="19:23" ht="18.75">
      <c r="S94" s="1053"/>
      <c r="T94" s="347"/>
      <c r="U94" s="347"/>
      <c r="V94" s="710"/>
      <c r="W94" s="1100"/>
    </row>
    <row r="95" spans="19:23" ht="18.75">
      <c r="S95" s="1054"/>
      <c r="T95" s="710"/>
      <c r="U95" s="710"/>
      <c r="V95" s="710"/>
      <c r="W95" s="1100"/>
    </row>
    <row r="96" spans="19:23">
      <c r="S96" s="2399" t="s">
        <v>1568</v>
      </c>
      <c r="T96" s="2400"/>
      <c r="U96" s="2400"/>
      <c r="V96" s="2400"/>
      <c r="W96" s="2401" t="str">
        <f>ADDRESS(ROW(D19),COLUMN(D19),4)</f>
        <v>D19</v>
      </c>
    </row>
    <row r="97" spans="19:23">
      <c r="S97" s="2399"/>
      <c r="T97" s="2400"/>
      <c r="U97" s="2400"/>
      <c r="V97" s="2400"/>
      <c r="W97" s="2401"/>
    </row>
    <row r="98" spans="19:23">
      <c r="S98" s="681"/>
      <c r="T98" s="1"/>
      <c r="U98" s="1"/>
      <c r="V98" s="1"/>
      <c r="W98" s="2"/>
    </row>
    <row r="99" spans="19:23" ht="15.75">
      <c r="S99" s="1397" t="s">
        <v>2218</v>
      </c>
      <c r="T99" s="1398"/>
      <c r="U99" s="1398"/>
      <c r="V99" s="1398"/>
      <c r="W99" s="2402" t="str">
        <f>ADDRESS(ROW(O20),COLUMN(O20),4)</f>
        <v>O20</v>
      </c>
    </row>
    <row r="100" spans="19:23" ht="15" customHeight="1">
      <c r="S100" s="2403" t="s">
        <v>2219</v>
      </c>
      <c r="T100" s="2404"/>
      <c r="U100" s="2404"/>
      <c r="V100" s="2404"/>
      <c r="W100" s="2402"/>
    </row>
    <row r="101" spans="19:23" ht="15" customHeight="1">
      <c r="S101" s="2405" t="s">
        <v>2220</v>
      </c>
      <c r="T101" s="2406"/>
      <c r="U101" s="2406"/>
      <c r="V101" s="2406"/>
      <c r="W101" s="2409" t="str">
        <f>ADDRESS(ROW(D17),COLUMN(D17),4)</f>
        <v>D17</v>
      </c>
    </row>
    <row r="102" spans="19:23" ht="15" customHeight="1">
      <c r="S102" s="2407"/>
      <c r="T102" s="2408"/>
      <c r="U102" s="2408"/>
      <c r="V102" s="2408"/>
      <c r="W102" s="2410"/>
    </row>
    <row r="103" spans="19:23">
      <c r="S103" s="2391" t="str">
        <f>ADDRESS(ROW(J17),COLUMN(J17),4)</f>
        <v>J17</v>
      </c>
      <c r="T103" s="2393" t="s">
        <v>1707</v>
      </c>
      <c r="U103" s="2393"/>
      <c r="V103" s="2395" t="s">
        <v>1708</v>
      </c>
      <c r="W103" s="2397">
        <f>P17</f>
        <v>6.0824999999999996</v>
      </c>
    </row>
    <row r="104" spans="19:23">
      <c r="S104" s="2392"/>
      <c r="T104" s="2394"/>
      <c r="U104" s="2394"/>
      <c r="V104" s="2396"/>
      <c r="W104" s="2398"/>
    </row>
    <row r="105" spans="19:23" ht="18.75">
      <c r="S105" s="1399" t="str">
        <f>ADDRESS(ROW(J19),COLUMN(J19),4)</f>
        <v>J19</v>
      </c>
      <c r="T105" s="1346" t="s">
        <v>2221</v>
      </c>
      <c r="U105" s="1347"/>
      <c r="V105" s="1420"/>
      <c r="W105" s="1960">
        <f t="shared" ref="W105:W106" si="14">P19</f>
        <v>1400</v>
      </c>
    </row>
    <row r="106" spans="19:23" ht="23.25">
      <c r="S106" s="1940" t="str">
        <f>ADDRESS(ROW(J20),COLUMN(J20),4)</f>
        <v>J20</v>
      </c>
      <c r="T106" s="1080" t="s">
        <v>1591</v>
      </c>
      <c r="U106" s="1081"/>
      <c r="V106" s="1424" t="s">
        <v>1723</v>
      </c>
      <c r="W106" s="1961">
        <f t="shared" si="14"/>
        <v>9.8643649815043162</v>
      </c>
    </row>
    <row r="107" spans="19:23" ht="18.75">
      <c r="S107" s="1137"/>
      <c r="T107" s="1133"/>
      <c r="U107" s="1134"/>
      <c r="V107" s="1135"/>
      <c r="W107" s="1136"/>
    </row>
    <row r="108" spans="19:23">
      <c r="S108" s="2372" t="s">
        <v>754</v>
      </c>
      <c r="T108" s="2373"/>
      <c r="U108" s="2373"/>
      <c r="V108" s="2373"/>
      <c r="W108" s="2374"/>
    </row>
    <row r="109" spans="19:23">
      <c r="S109" s="2372"/>
      <c r="T109" s="2373"/>
      <c r="U109" s="2373"/>
      <c r="V109" s="2373"/>
      <c r="W109" s="2374"/>
    </row>
    <row r="110" spans="19:23" ht="18.75">
      <c r="S110" s="2375" t="s">
        <v>756</v>
      </c>
      <c r="T110" s="2376"/>
      <c r="U110" s="2376"/>
      <c r="V110" s="2376"/>
      <c r="W110" s="2377"/>
    </row>
    <row r="111" spans="19:23" ht="19.5" thickBot="1">
      <c r="S111" s="1123"/>
      <c r="T111" s="2365" t="s">
        <v>757</v>
      </c>
      <c r="U111" s="2365"/>
      <c r="V111" s="1124" t="e">
        <f>LEFT(ADDRESS(1,COLUMN(#REF!),4),LEN(ADDRESS(1,COLUMN(#REF!),4))-1)</f>
        <v>#REF!</v>
      </c>
      <c r="W111" s="1125"/>
    </row>
    <row r="112" spans="19:23">
      <c r="S112" s="2366" t="s">
        <v>151</v>
      </c>
      <c r="T112" s="2367"/>
      <c r="U112" s="2367"/>
      <c r="V112" s="2367"/>
      <c r="W112" s="2368"/>
    </row>
    <row r="113" spans="19:23">
      <c r="S113" s="2369"/>
      <c r="T113" s="2370"/>
      <c r="U113" s="2370"/>
      <c r="V113" s="2370"/>
      <c r="W113" s="2371"/>
    </row>
    <row r="114" spans="19:23">
      <c r="S114" s="2369"/>
      <c r="T114" s="2370"/>
      <c r="U114" s="2370"/>
      <c r="V114" s="2370"/>
      <c r="W114" s="2371"/>
    </row>
    <row r="115" spans="19:23" ht="16.5" thickBot="1">
      <c r="S115" s="1138"/>
      <c r="T115" s="1139"/>
      <c r="U115" s="1139"/>
      <c r="V115" s="1139"/>
      <c r="W115" s="1140"/>
    </row>
  </sheetData>
  <mergeCells count="74">
    <mergeCell ref="B2:Q2"/>
    <mergeCell ref="B13:Q13"/>
    <mergeCell ref="S13:W13"/>
    <mergeCell ref="X13:AE13"/>
    <mergeCell ref="B14:G14"/>
    <mergeCell ref="J14:O14"/>
    <mergeCell ref="T14:V14"/>
    <mergeCell ref="B3:O3"/>
    <mergeCell ref="AG14:AU14"/>
    <mergeCell ref="A15:A57"/>
    <mergeCell ref="I15:I57"/>
    <mergeCell ref="Q15:Q56"/>
    <mergeCell ref="T15:W15"/>
    <mergeCell ref="X15:AE16"/>
    <mergeCell ref="AG15:AU16"/>
    <mergeCell ref="O16:P16"/>
    <mergeCell ref="V16:W16"/>
    <mergeCell ref="B17:C17"/>
    <mergeCell ref="AG18:AI19"/>
    <mergeCell ref="AJ18:AM19"/>
    <mergeCell ref="AN18:AQ19"/>
    <mergeCell ref="AR18:AU19"/>
    <mergeCell ref="D17:D18"/>
    <mergeCell ref="J17:J18"/>
    <mergeCell ref="K17:L18"/>
    <mergeCell ref="O17:O18"/>
    <mergeCell ref="P17:P18"/>
    <mergeCell ref="X17:Z19"/>
    <mergeCell ref="X20:Z20"/>
    <mergeCell ref="AA17:AA20"/>
    <mergeCell ref="AB17:AE19"/>
    <mergeCell ref="Y61:Y65"/>
    <mergeCell ref="Z61:Z65"/>
    <mergeCell ref="S63:W64"/>
    <mergeCell ref="S65:W65"/>
    <mergeCell ref="S56:S57"/>
    <mergeCell ref="T59:W60"/>
    <mergeCell ref="Y59:AD59"/>
    <mergeCell ref="Y60:Z60"/>
    <mergeCell ref="AC60:AD60"/>
    <mergeCell ref="S67:V67"/>
    <mergeCell ref="Y67:AD67"/>
    <mergeCell ref="Y68:Z68"/>
    <mergeCell ref="AC68:AD68"/>
    <mergeCell ref="S69:V71"/>
    <mergeCell ref="Y69:Y73"/>
    <mergeCell ref="Z69:Z73"/>
    <mergeCell ref="S81:V81"/>
    <mergeCell ref="S103:S104"/>
    <mergeCell ref="T103:U104"/>
    <mergeCell ref="V103:V104"/>
    <mergeCell ref="W103:W104"/>
    <mergeCell ref="S96:V97"/>
    <mergeCell ref="W96:W97"/>
    <mergeCell ref="W99:W100"/>
    <mergeCell ref="S100:V100"/>
    <mergeCell ref="S101:V102"/>
    <mergeCell ref="W101:W102"/>
    <mergeCell ref="T111:U111"/>
    <mergeCell ref="S112:W114"/>
    <mergeCell ref="C5:G5"/>
    <mergeCell ref="C9:G9"/>
    <mergeCell ref="C7:G7"/>
    <mergeCell ref="S108:W109"/>
    <mergeCell ref="S110:W110"/>
    <mergeCell ref="W81:W82"/>
    <mergeCell ref="T74:V74"/>
    <mergeCell ref="S61:W62"/>
    <mergeCell ref="E20:E21"/>
    <mergeCell ref="C11:G11"/>
    <mergeCell ref="S75:S76"/>
    <mergeCell ref="T75:V76"/>
    <mergeCell ref="W75:W76"/>
    <mergeCell ref="S78:W79"/>
  </mergeCells>
  <hyperlinks>
    <hyperlink ref="L55" r:id="rId1"/>
    <hyperlink ref="C5" r:id="rId2"/>
    <hyperlink ref="C7" r:id="rId3"/>
    <hyperlink ref="C9" r:id="rId4"/>
    <hyperlink ref="U56" r:id="rId5"/>
    <hyperlink ref="C11" r:id="rId6"/>
  </hyperlinks>
  <printOptions horizontalCentered="1"/>
  <pageMargins left="0.23622047244094491" right="0.23622047244094491" top="0.35433070866141736" bottom="0.35433070866141736" header="0.19685039370078741" footer="0.19685039370078741"/>
  <pageSetup paperSize="9" scale="52" orientation="landscape" r:id="rId7"/>
  <drawing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dimension ref="A1:BJ136"/>
  <sheetViews>
    <sheetView showZeros="0" workbookViewId="0">
      <selection activeCell="K36" sqref="K36"/>
    </sheetView>
  </sheetViews>
  <sheetFormatPr baseColWidth="10" defaultRowHeight="12.75"/>
  <cols>
    <col min="1" max="1" width="3.7109375" style="755" customWidth="1"/>
    <col min="2" max="2" width="11.42578125" style="755"/>
    <col min="3" max="3" width="32" style="755" customWidth="1"/>
    <col min="4" max="4" width="14.28515625" style="755" customWidth="1"/>
    <col min="5" max="5" width="13.140625" style="755" customWidth="1"/>
    <col min="6" max="7" width="11.42578125" style="755"/>
    <col min="8" max="8" width="3.7109375" style="755" customWidth="1"/>
    <col min="9" max="9" width="11.42578125" style="755"/>
    <col min="10" max="10" width="36" style="755" customWidth="1"/>
    <col min="11" max="11" width="13.7109375" style="755" customWidth="1"/>
    <col min="12" max="14" width="11.42578125" style="755"/>
    <col min="15" max="15" width="4.5703125" style="755" customWidth="1"/>
    <col min="16" max="16" width="11.42578125" style="755"/>
    <col min="17" max="17" width="35.42578125" style="755" customWidth="1"/>
    <col min="18" max="18" width="13.140625" style="755" customWidth="1"/>
    <col min="19" max="21" width="11.42578125" style="755"/>
    <col min="22" max="22" width="4.5703125" style="755" customWidth="1"/>
    <col min="23" max="23" width="11.42578125" style="755"/>
    <col min="24" max="25" width="26.28515625" style="755" customWidth="1"/>
    <col min="26" max="27" width="19.42578125" style="755" customWidth="1"/>
    <col min="28" max="28" width="18.28515625" style="755" customWidth="1"/>
    <col min="29" max="29" width="19.42578125" style="755" customWidth="1"/>
    <col min="30" max="30" width="25.140625" style="755" customWidth="1"/>
    <col min="31" max="31" width="11.42578125" style="755"/>
    <col min="32" max="32" width="31.42578125" style="755" customWidth="1"/>
    <col min="33" max="39" width="15.7109375" style="755" customWidth="1"/>
    <col min="40" max="16384" width="11.42578125" style="755"/>
  </cols>
  <sheetData>
    <row r="1" spans="1:62" ht="60.75" customHeight="1">
      <c r="A1" s="846"/>
      <c r="B1" s="3347" t="s">
        <v>1394</v>
      </c>
      <c r="C1" s="3347"/>
      <c r="D1" s="3347"/>
      <c r="E1" s="3347"/>
      <c r="F1" s="3347"/>
      <c r="G1" s="3347"/>
      <c r="H1" s="3347"/>
      <c r="I1" s="3347"/>
      <c r="J1" s="3347"/>
      <c r="K1" s="3347"/>
      <c r="L1" s="3347"/>
      <c r="M1" s="3347"/>
      <c r="N1" s="3347"/>
      <c r="O1" s="3347"/>
      <c r="P1" s="3347"/>
      <c r="Q1" s="3347"/>
      <c r="R1" s="3347"/>
      <c r="S1" s="3347"/>
      <c r="T1" s="3347"/>
      <c r="U1" s="3347"/>
      <c r="V1" s="3347"/>
      <c r="X1" s="888"/>
      <c r="Y1" s="888"/>
      <c r="Z1" s="888"/>
      <c r="AA1" s="888"/>
      <c r="AB1" s="888"/>
      <c r="AC1" s="888"/>
      <c r="AD1" s="888"/>
      <c r="AF1" s="888"/>
      <c r="AG1" s="888"/>
      <c r="AH1" s="888"/>
      <c r="AI1" s="888"/>
      <c r="AJ1" s="888"/>
      <c r="AK1" s="888"/>
      <c r="AL1" s="888"/>
      <c r="AM1" s="888"/>
      <c r="AN1" s="888"/>
      <c r="AO1" s="888"/>
      <c r="AP1" s="888"/>
      <c r="AQ1" s="888"/>
      <c r="AR1" s="888"/>
      <c r="AS1" s="888"/>
      <c r="AT1" s="888"/>
      <c r="AV1" s="888"/>
      <c r="AW1" s="888"/>
      <c r="AX1" s="888"/>
      <c r="AY1" s="888"/>
      <c r="AZ1" s="888"/>
      <c r="BA1" s="888"/>
      <c r="BB1" s="888"/>
      <c r="BC1" s="888"/>
      <c r="BD1" s="888"/>
      <c r="BE1" s="888"/>
      <c r="BF1" s="888"/>
      <c r="BG1" s="888"/>
      <c r="BH1" s="888"/>
      <c r="BI1" s="888"/>
      <c r="BJ1" s="888"/>
    </row>
    <row r="2" spans="1:62" ht="15.75" customHeight="1">
      <c r="A2" s="846"/>
      <c r="B2" s="3346" t="s">
        <v>1392</v>
      </c>
      <c r="C2" s="3346"/>
      <c r="D2" s="3346"/>
      <c r="E2" s="3346"/>
      <c r="F2" s="3346"/>
      <c r="G2" s="3346"/>
      <c r="H2" s="846"/>
      <c r="I2" s="3346" t="s">
        <v>1392</v>
      </c>
      <c r="J2" s="3346"/>
      <c r="K2" s="3346"/>
      <c r="L2" s="3346"/>
      <c r="M2" s="3346"/>
      <c r="N2" s="3346"/>
      <c r="O2" s="846"/>
      <c r="P2" s="3346" t="s">
        <v>1392</v>
      </c>
      <c r="Q2" s="3346"/>
      <c r="R2" s="3346"/>
      <c r="S2" s="3346"/>
      <c r="T2" s="3346"/>
      <c r="U2" s="3346"/>
      <c r="V2" s="846"/>
      <c r="X2" s="888"/>
      <c r="Y2" s="888"/>
      <c r="Z2" s="888"/>
      <c r="AA2" s="888"/>
      <c r="AB2" s="888"/>
      <c r="AC2" s="888"/>
      <c r="AD2" s="888"/>
      <c r="AF2" s="888"/>
      <c r="AG2" s="888"/>
      <c r="AH2" s="888"/>
      <c r="AI2" s="888"/>
      <c r="AJ2" s="889"/>
      <c r="AK2" s="889"/>
      <c r="AL2" s="889"/>
      <c r="AM2" s="889"/>
      <c r="AN2" s="890"/>
      <c r="AO2" s="890"/>
      <c r="AP2" s="890"/>
      <c r="AQ2" s="890"/>
      <c r="AR2" s="890"/>
      <c r="AS2" s="890"/>
      <c r="AT2" s="888"/>
      <c r="AV2" s="888"/>
      <c r="AW2" s="888"/>
      <c r="AX2" s="888"/>
      <c r="AY2" s="888"/>
      <c r="AZ2" s="888"/>
      <c r="BA2" s="888"/>
      <c r="BB2" s="888"/>
      <c r="BC2" s="888"/>
      <c r="BD2" s="888"/>
      <c r="BE2" s="888"/>
      <c r="BF2" s="888"/>
      <c r="BG2" s="888"/>
      <c r="BH2" s="888"/>
      <c r="BI2" s="888"/>
      <c r="BJ2" s="888"/>
    </row>
    <row r="3" spans="1:62" ht="12.75" customHeight="1">
      <c r="A3" s="846"/>
      <c r="B3" s="3346"/>
      <c r="C3" s="3346"/>
      <c r="D3" s="3346"/>
      <c r="E3" s="3346"/>
      <c r="F3" s="3346"/>
      <c r="G3" s="3346"/>
      <c r="H3" s="846"/>
      <c r="I3" s="3346"/>
      <c r="J3" s="3346"/>
      <c r="K3" s="3346"/>
      <c r="L3" s="3346"/>
      <c r="M3" s="3346"/>
      <c r="N3" s="3346"/>
      <c r="O3" s="846"/>
      <c r="P3" s="3346"/>
      <c r="Q3" s="3346"/>
      <c r="R3" s="3346"/>
      <c r="S3" s="3346"/>
      <c r="T3" s="3346"/>
      <c r="U3" s="3346"/>
      <c r="V3" s="846"/>
      <c r="X3" s="888"/>
      <c r="Y3" s="888"/>
      <c r="Z3" s="888"/>
      <c r="AA3" s="888"/>
      <c r="AB3" s="888"/>
      <c r="AC3" s="888"/>
      <c r="AD3" s="888"/>
      <c r="AF3" s="888"/>
      <c r="AG3" s="888"/>
      <c r="AH3" s="888"/>
      <c r="AI3" s="888"/>
      <c r="AJ3" s="889"/>
      <c r="AK3" s="889"/>
      <c r="AL3" s="889"/>
      <c r="AM3" s="889"/>
      <c r="AN3" s="890"/>
      <c r="AO3" s="890"/>
      <c r="AP3" s="890"/>
      <c r="AQ3" s="890"/>
      <c r="AR3" s="890"/>
      <c r="AS3" s="890"/>
      <c r="AT3" s="888"/>
      <c r="AV3" s="888"/>
      <c r="AW3" s="888"/>
      <c r="AX3" s="888"/>
      <c r="AY3" s="888"/>
      <c r="AZ3" s="888"/>
      <c r="BA3" s="888"/>
      <c r="BB3" s="888"/>
      <c r="BC3" s="888"/>
      <c r="BD3" s="888"/>
      <c r="BE3" s="888"/>
      <c r="BF3" s="888"/>
      <c r="BG3" s="888"/>
      <c r="BH3" s="888"/>
      <c r="BI3" s="888"/>
      <c r="BJ3" s="888"/>
    </row>
    <row r="4" spans="1:62" ht="13.5" customHeight="1">
      <c r="A4" s="846"/>
      <c r="B4" s="3346"/>
      <c r="C4" s="3346"/>
      <c r="D4" s="3346"/>
      <c r="E4" s="3346"/>
      <c r="F4" s="3346"/>
      <c r="G4" s="3346"/>
      <c r="H4" s="846"/>
      <c r="I4" s="3346"/>
      <c r="J4" s="3346"/>
      <c r="K4" s="3346"/>
      <c r="L4" s="3346"/>
      <c r="M4" s="3346"/>
      <c r="N4" s="3346"/>
      <c r="O4" s="846"/>
      <c r="P4" s="3346"/>
      <c r="Q4" s="3346"/>
      <c r="R4" s="3346"/>
      <c r="S4" s="3346"/>
      <c r="T4" s="3346"/>
      <c r="U4" s="3346"/>
      <c r="V4" s="846"/>
      <c r="X4" s="888"/>
      <c r="Y4" s="888"/>
      <c r="Z4" s="888"/>
      <c r="AA4" s="888"/>
      <c r="AB4" s="888"/>
      <c r="AC4" s="888"/>
      <c r="AD4" s="888"/>
      <c r="AF4" s="888"/>
      <c r="AG4" s="888"/>
      <c r="AH4" s="888"/>
      <c r="AI4" s="888"/>
      <c r="AJ4" s="889"/>
      <c r="AK4" s="889"/>
      <c r="AL4" s="889"/>
      <c r="AM4" s="889"/>
      <c r="AN4" s="890"/>
      <c r="AO4" s="890"/>
      <c r="AP4" s="890"/>
      <c r="AQ4" s="890"/>
      <c r="AR4" s="890"/>
      <c r="AS4" s="890"/>
      <c r="AT4" s="888"/>
      <c r="AV4" s="888"/>
      <c r="AW4" s="888"/>
      <c r="AX4" s="888"/>
      <c r="AY4" s="888"/>
      <c r="AZ4" s="888"/>
      <c r="BA4" s="888"/>
      <c r="BB4" s="888"/>
      <c r="BC4" s="888"/>
      <c r="BD4" s="888"/>
      <c r="BE4" s="888"/>
      <c r="BF4" s="888"/>
      <c r="BG4" s="888"/>
      <c r="BH4" s="888"/>
      <c r="BI4" s="888"/>
      <c r="BJ4" s="888"/>
    </row>
    <row r="5" spans="1:62" ht="31.5">
      <c r="A5" s="3348"/>
      <c r="B5" s="842" t="s">
        <v>821</v>
      </c>
      <c r="C5" s="842" t="s">
        <v>822</v>
      </c>
      <c r="D5" s="843" t="s">
        <v>824</v>
      </c>
      <c r="E5" s="844" t="s">
        <v>823</v>
      </c>
      <c r="F5" s="845" t="s">
        <v>69</v>
      </c>
      <c r="G5" s="841" t="s">
        <v>1393</v>
      </c>
      <c r="H5" s="3348"/>
      <c r="I5" s="842" t="s">
        <v>821</v>
      </c>
      <c r="J5" s="842" t="s">
        <v>822</v>
      </c>
      <c r="K5" s="843" t="s">
        <v>824</v>
      </c>
      <c r="L5" s="844" t="s">
        <v>823</v>
      </c>
      <c r="M5" s="845" t="s">
        <v>69</v>
      </c>
      <c r="N5" s="841" t="s">
        <v>1393</v>
      </c>
      <c r="O5" s="3348"/>
      <c r="P5" s="842" t="s">
        <v>821</v>
      </c>
      <c r="Q5" s="842" t="s">
        <v>822</v>
      </c>
      <c r="R5" s="843" t="s">
        <v>824</v>
      </c>
      <c r="S5" s="844" t="s">
        <v>823</v>
      </c>
      <c r="T5" s="845" t="s">
        <v>69</v>
      </c>
      <c r="U5" s="841" t="s">
        <v>1393</v>
      </c>
      <c r="V5" s="3348"/>
      <c r="X5" s="77"/>
      <c r="Y5" s="77"/>
      <c r="Z5" s="77"/>
      <c r="AA5" s="77"/>
      <c r="AB5" s="77"/>
      <c r="AC5" s="77"/>
      <c r="AD5" s="77"/>
      <c r="AF5" s="77"/>
      <c r="AG5" s="77"/>
      <c r="AH5" s="77"/>
      <c r="AI5" s="77"/>
      <c r="AJ5" s="865"/>
      <c r="AK5" s="865"/>
      <c r="AL5" s="865"/>
      <c r="AM5" s="865"/>
      <c r="AN5" s="866"/>
      <c r="AO5" s="866"/>
      <c r="AP5" s="866"/>
      <c r="AQ5" s="866"/>
      <c r="AR5" s="866"/>
      <c r="AS5" s="866"/>
      <c r="AT5" s="77"/>
      <c r="AV5" s="77"/>
      <c r="AW5" s="77"/>
      <c r="AX5" s="77"/>
      <c r="AY5" s="77"/>
      <c r="AZ5" s="77"/>
      <c r="BA5" s="77"/>
      <c r="BB5" s="77"/>
      <c r="BC5" s="77"/>
      <c r="BD5" s="77"/>
      <c r="BE5" s="77"/>
      <c r="BF5" s="77"/>
      <c r="BG5" s="77"/>
      <c r="BH5" s="77"/>
      <c r="BI5" s="77"/>
      <c r="BJ5" s="77"/>
    </row>
    <row r="6" spans="1:62" ht="21">
      <c r="A6" s="3348"/>
      <c r="C6" s="819" t="s">
        <v>351</v>
      </c>
      <c r="D6" s="820"/>
      <c r="E6" s="821"/>
      <c r="F6" s="821"/>
      <c r="G6" s="822"/>
      <c r="H6" s="3348"/>
      <c r="I6" s="823"/>
      <c r="J6" s="819" t="s">
        <v>825</v>
      </c>
      <c r="K6" s="824"/>
      <c r="L6" s="825"/>
      <c r="M6" s="825"/>
      <c r="N6" s="826"/>
      <c r="O6" s="3348"/>
      <c r="P6" s="823"/>
      <c r="Q6" s="819" t="s">
        <v>826</v>
      </c>
      <c r="R6" s="819"/>
      <c r="S6" s="824"/>
      <c r="T6" s="825"/>
      <c r="U6" s="826"/>
      <c r="V6" s="3348"/>
      <c r="X6" s="882" t="s">
        <v>1399</v>
      </c>
      <c r="Y6" s="886"/>
      <c r="Z6" s="77"/>
      <c r="AA6" s="77"/>
      <c r="AB6" s="873"/>
      <c r="AC6" s="873"/>
      <c r="AD6" s="873"/>
      <c r="AF6" s="863" t="s">
        <v>1315</v>
      </c>
      <c r="AG6" s="863"/>
      <c r="AH6" s="863"/>
      <c r="AI6" s="865"/>
      <c r="AJ6" s="865"/>
      <c r="AK6" s="865"/>
      <c r="AL6" s="865"/>
      <c r="AM6" s="865"/>
      <c r="AN6" s="866"/>
      <c r="AO6" s="866"/>
      <c r="AP6" s="866"/>
      <c r="AQ6" s="866"/>
      <c r="AR6" s="866"/>
      <c r="AS6" s="866"/>
      <c r="AT6" s="77"/>
      <c r="AV6" s="875" t="s">
        <v>993</v>
      </c>
      <c r="AW6" s="876"/>
      <c r="AX6" s="876"/>
      <c r="AY6" s="876"/>
      <c r="AZ6" s="876"/>
      <c r="BA6" s="866"/>
      <c r="BB6" s="866"/>
      <c r="BC6" s="866"/>
      <c r="BD6" s="866"/>
      <c r="BE6" s="866"/>
      <c r="BF6" s="866"/>
      <c r="BG6" s="866"/>
      <c r="BH6" s="866"/>
      <c r="BI6" s="866"/>
      <c r="BJ6" s="77"/>
    </row>
    <row r="7" spans="1:62" ht="18.75">
      <c r="A7" s="3348"/>
      <c r="B7" s="840">
        <v>1</v>
      </c>
      <c r="C7" s="6" t="s">
        <v>827</v>
      </c>
      <c r="D7" s="835">
        <v>55</v>
      </c>
      <c r="E7" s="839">
        <v>10</v>
      </c>
      <c r="F7" s="837">
        <f t="shared" ref="F7:F38" si="0">(D7*E7)</f>
        <v>550</v>
      </c>
      <c r="G7" s="836">
        <f t="shared" ref="G7:G10" si="1">F7/1000</f>
        <v>0.55000000000000004</v>
      </c>
      <c r="H7" s="3348"/>
      <c r="I7" s="840">
        <v>56</v>
      </c>
      <c r="J7" s="6" t="s">
        <v>828</v>
      </c>
      <c r="K7" s="835">
        <v>170</v>
      </c>
      <c r="L7" s="839">
        <v>10</v>
      </c>
      <c r="M7" s="837">
        <f>(K7*L7)</f>
        <v>1700</v>
      </c>
      <c r="N7" s="836">
        <f t="shared" ref="N7:N68" si="2">M7/1000</f>
        <v>1.7</v>
      </c>
      <c r="O7" s="3348"/>
      <c r="P7" s="840">
        <v>113</v>
      </c>
      <c r="Q7" s="6" t="s">
        <v>829</v>
      </c>
      <c r="R7" s="835">
        <v>20</v>
      </c>
      <c r="S7" s="839">
        <v>10</v>
      </c>
      <c r="T7" s="837">
        <f t="shared" ref="T7:T19" si="3">(R7*S7)</f>
        <v>200</v>
      </c>
      <c r="U7" s="836">
        <f t="shared" ref="U7:U38" si="4">T7/1000</f>
        <v>0.2</v>
      </c>
      <c r="V7" s="3348"/>
      <c r="X7" s="77"/>
      <c r="Y7" s="77"/>
      <c r="Z7" s="77"/>
      <c r="AA7" s="77"/>
      <c r="AB7" s="873"/>
      <c r="AC7" s="873"/>
      <c r="AD7" s="873"/>
      <c r="AF7" s="864"/>
      <c r="AG7" s="865"/>
      <c r="AH7" s="865"/>
      <c r="AI7" s="865"/>
      <c r="AJ7" s="865"/>
      <c r="AK7" s="865"/>
      <c r="AL7" s="865"/>
      <c r="AM7" s="865"/>
      <c r="AN7" s="866"/>
      <c r="AO7" s="866"/>
      <c r="AP7" s="866"/>
      <c r="AQ7" s="866"/>
      <c r="AR7" s="866"/>
      <c r="AS7" s="866"/>
      <c r="AT7" s="77"/>
      <c r="AV7" s="876"/>
      <c r="AW7" s="876"/>
      <c r="AX7" s="876"/>
      <c r="AY7" s="876"/>
      <c r="AZ7" s="876"/>
      <c r="BA7" s="866"/>
      <c r="BB7" s="866"/>
      <c r="BC7" s="866"/>
      <c r="BD7" s="866"/>
      <c r="BE7" s="866"/>
      <c r="BF7" s="866"/>
      <c r="BG7" s="866"/>
      <c r="BH7" s="866"/>
      <c r="BI7" s="866"/>
      <c r="BJ7" s="77"/>
    </row>
    <row r="8" spans="1:62" ht="18.75">
      <c r="A8" s="3348"/>
      <c r="B8" s="840">
        <v>2</v>
      </c>
      <c r="C8" s="6" t="s">
        <v>830</v>
      </c>
      <c r="D8" s="835">
        <v>5</v>
      </c>
      <c r="E8" s="839">
        <v>10</v>
      </c>
      <c r="F8" s="837">
        <f t="shared" si="0"/>
        <v>50</v>
      </c>
      <c r="G8" s="836">
        <f t="shared" si="1"/>
        <v>0.05</v>
      </c>
      <c r="H8" s="3348"/>
      <c r="I8" s="840">
        <v>57</v>
      </c>
      <c r="J8" s="6" t="s">
        <v>831</v>
      </c>
      <c r="K8" s="835">
        <v>160</v>
      </c>
      <c r="L8" s="839">
        <v>10</v>
      </c>
      <c r="M8" s="837">
        <f t="shared" ref="M8:M68" si="5">(K8*L8)</f>
        <v>1600</v>
      </c>
      <c r="N8" s="836">
        <f t="shared" si="2"/>
        <v>1.6</v>
      </c>
      <c r="O8" s="3348"/>
      <c r="P8" s="840">
        <v>114</v>
      </c>
      <c r="Q8" s="6" t="s">
        <v>832</v>
      </c>
      <c r="R8" s="835">
        <v>125</v>
      </c>
      <c r="S8" s="839">
        <v>10</v>
      </c>
      <c r="T8" s="837">
        <f t="shared" si="3"/>
        <v>1250</v>
      </c>
      <c r="U8" s="836">
        <f t="shared" si="4"/>
        <v>1.25</v>
      </c>
      <c r="V8" s="3348"/>
      <c r="X8" s="886" t="s">
        <v>1395</v>
      </c>
      <c r="Y8" s="886" t="s">
        <v>1396</v>
      </c>
      <c r="Z8" s="886" t="s">
        <v>66</v>
      </c>
      <c r="AA8" s="887"/>
      <c r="AB8" s="886" t="s">
        <v>1395</v>
      </c>
      <c r="AC8" s="886" t="s">
        <v>1396</v>
      </c>
      <c r="AD8" s="886" t="s">
        <v>66</v>
      </c>
      <c r="AF8" s="867" t="s">
        <v>1411</v>
      </c>
      <c r="AG8" s="865"/>
      <c r="AH8" s="865"/>
      <c r="AI8" s="865"/>
      <c r="AJ8" s="865"/>
      <c r="AK8" s="865"/>
      <c r="AL8" s="865"/>
      <c r="AM8" s="865"/>
      <c r="AN8" s="866"/>
      <c r="AO8" s="866"/>
      <c r="AP8" s="866"/>
      <c r="AQ8" s="866"/>
      <c r="AR8" s="866"/>
      <c r="AS8" s="866"/>
      <c r="AT8" s="77"/>
      <c r="AV8" s="877" t="s">
        <v>159</v>
      </c>
      <c r="AW8" s="876"/>
      <c r="AX8" s="876"/>
      <c r="AY8" s="876"/>
      <c r="AZ8" s="878"/>
      <c r="BA8" s="866"/>
      <c r="BB8" s="866"/>
      <c r="BC8" s="866"/>
      <c r="BD8" s="866"/>
      <c r="BE8" s="866"/>
      <c r="BF8" s="866"/>
      <c r="BG8" s="866"/>
      <c r="BH8" s="866"/>
      <c r="BI8" s="866"/>
      <c r="BJ8" s="77"/>
    </row>
    <row r="9" spans="1:62" ht="20.25">
      <c r="A9" s="3348"/>
      <c r="B9" s="840">
        <v>3</v>
      </c>
      <c r="C9" s="6" t="s">
        <v>833</v>
      </c>
      <c r="D9" s="835">
        <v>8</v>
      </c>
      <c r="E9" s="839">
        <v>10</v>
      </c>
      <c r="F9" s="837">
        <f t="shared" si="0"/>
        <v>80</v>
      </c>
      <c r="G9" s="836">
        <f t="shared" si="1"/>
        <v>0.08</v>
      </c>
      <c r="H9" s="3348"/>
      <c r="I9" s="840">
        <v>58</v>
      </c>
      <c r="J9" s="6" t="s">
        <v>834</v>
      </c>
      <c r="K9" s="835">
        <v>885</v>
      </c>
      <c r="L9" s="839">
        <v>10</v>
      </c>
      <c r="M9" s="837">
        <f t="shared" si="5"/>
        <v>8850</v>
      </c>
      <c r="N9" s="836">
        <f t="shared" si="2"/>
        <v>8.85</v>
      </c>
      <c r="O9" s="3348"/>
      <c r="P9" s="840"/>
      <c r="Q9" s="827" t="s">
        <v>367</v>
      </c>
      <c r="R9" s="835">
        <v>0</v>
      </c>
      <c r="S9" s="839"/>
      <c r="T9" s="837">
        <f t="shared" si="3"/>
        <v>0</v>
      </c>
      <c r="U9" s="836">
        <f t="shared" si="4"/>
        <v>0</v>
      </c>
      <c r="V9" s="3348"/>
      <c r="X9" s="77"/>
      <c r="Y9" s="77"/>
      <c r="Z9" s="77"/>
      <c r="AA9" s="77"/>
      <c r="AB9" s="77"/>
      <c r="AC9" s="77"/>
      <c r="AD9" s="77"/>
      <c r="AF9" s="867"/>
      <c r="AG9" s="865"/>
      <c r="AH9" s="865"/>
      <c r="AI9" s="865"/>
      <c r="AJ9" s="865"/>
      <c r="AK9" s="865"/>
      <c r="AL9" s="865"/>
      <c r="AM9" s="865"/>
      <c r="AN9" s="866"/>
      <c r="AO9" s="866"/>
      <c r="AP9" s="866"/>
      <c r="AQ9" s="866"/>
      <c r="AR9" s="866"/>
      <c r="AS9" s="866"/>
      <c r="AT9" s="77"/>
      <c r="AV9" s="877"/>
      <c r="AW9" s="876"/>
      <c r="AX9" s="876"/>
      <c r="AY9" s="876"/>
      <c r="AZ9" s="878"/>
      <c r="BA9" s="865"/>
      <c r="BB9" s="865"/>
      <c r="BC9" s="865"/>
      <c r="BD9" s="866"/>
      <c r="BE9" s="866"/>
      <c r="BF9" s="866"/>
      <c r="BG9" s="866"/>
      <c r="BH9" s="866"/>
      <c r="BI9" s="866"/>
      <c r="BJ9" s="77"/>
    </row>
    <row r="10" spans="1:62" ht="18.75">
      <c r="A10" s="3348"/>
      <c r="B10" s="840">
        <v>4</v>
      </c>
      <c r="C10" s="6" t="s">
        <v>835</v>
      </c>
      <c r="D10" s="835">
        <v>50</v>
      </c>
      <c r="E10" s="839">
        <v>10</v>
      </c>
      <c r="F10" s="837">
        <f t="shared" si="0"/>
        <v>500</v>
      </c>
      <c r="G10" s="836">
        <f t="shared" si="1"/>
        <v>0.5</v>
      </c>
      <c r="H10" s="3348"/>
      <c r="I10" s="840">
        <v>59</v>
      </c>
      <c r="J10" s="6" t="s">
        <v>836</v>
      </c>
      <c r="K10" s="835">
        <v>500</v>
      </c>
      <c r="L10" s="839">
        <v>10</v>
      </c>
      <c r="M10" s="837">
        <f t="shared" si="5"/>
        <v>5000</v>
      </c>
      <c r="N10" s="836">
        <f t="shared" si="2"/>
        <v>5</v>
      </c>
      <c r="O10" s="3348"/>
      <c r="P10" s="840">
        <v>115</v>
      </c>
      <c r="Q10" s="6" t="s">
        <v>837</v>
      </c>
      <c r="R10" s="835">
        <v>45</v>
      </c>
      <c r="S10" s="839">
        <v>10</v>
      </c>
      <c r="T10" s="837">
        <f t="shared" si="3"/>
        <v>450</v>
      </c>
      <c r="U10" s="836">
        <f t="shared" si="4"/>
        <v>0.45</v>
      </c>
      <c r="V10" s="3348"/>
      <c r="X10" s="6" t="s">
        <v>1004</v>
      </c>
      <c r="Y10" s="839" t="s">
        <v>1005</v>
      </c>
      <c r="Z10" s="835" t="s">
        <v>1006</v>
      </c>
      <c r="AA10" s="831"/>
      <c r="AB10" s="6" t="s">
        <v>1007</v>
      </c>
      <c r="AC10" s="839" t="s">
        <v>1008</v>
      </c>
      <c r="AD10" s="835" t="s">
        <v>1009</v>
      </c>
      <c r="AE10" s="831"/>
      <c r="AF10" s="864" t="s">
        <v>1412</v>
      </c>
      <c r="AG10" s="865"/>
      <c r="AH10" s="865"/>
      <c r="AI10" s="865"/>
      <c r="AJ10" s="865"/>
      <c r="AK10" s="865"/>
      <c r="AL10" s="865"/>
      <c r="AM10" s="865"/>
      <c r="AN10" s="866"/>
      <c r="AO10" s="866"/>
      <c r="AP10" s="866"/>
      <c r="AQ10" s="866"/>
      <c r="AR10" s="866"/>
      <c r="AS10" s="866"/>
      <c r="AT10" s="77"/>
      <c r="AV10" s="879" t="s">
        <v>994</v>
      </c>
      <c r="AW10" s="876"/>
      <c r="AX10" s="876"/>
      <c r="AY10" s="876"/>
      <c r="AZ10" s="878"/>
      <c r="BA10" s="866"/>
      <c r="BB10" s="866"/>
      <c r="BC10" s="866"/>
      <c r="BD10" s="866"/>
      <c r="BE10" s="866"/>
      <c r="BF10" s="866"/>
      <c r="BG10" s="866"/>
      <c r="BH10" s="866"/>
      <c r="BI10" s="866"/>
      <c r="BJ10" s="77"/>
    </row>
    <row r="11" spans="1:62" ht="20.25">
      <c r="A11" s="3348"/>
      <c r="B11" s="840">
        <v>5</v>
      </c>
      <c r="C11" s="6" t="s">
        <v>838</v>
      </c>
      <c r="D11" s="835">
        <v>2000</v>
      </c>
      <c r="E11" s="839">
        <v>10</v>
      </c>
      <c r="F11" s="837">
        <f t="shared" si="0"/>
        <v>20000</v>
      </c>
      <c r="G11" s="838">
        <f t="shared" ref="G11:G42" si="6">F11/1000</f>
        <v>20</v>
      </c>
      <c r="H11" s="3348"/>
      <c r="I11" s="840"/>
      <c r="J11" s="827" t="s">
        <v>36</v>
      </c>
      <c r="K11" s="835">
        <v>0</v>
      </c>
      <c r="L11" s="839"/>
      <c r="M11" s="837">
        <f t="shared" si="5"/>
        <v>0</v>
      </c>
      <c r="N11" s="836">
        <f t="shared" si="2"/>
        <v>0</v>
      </c>
      <c r="O11" s="3348"/>
      <c r="P11" s="840">
        <v>116</v>
      </c>
      <c r="Q11" s="6" t="s">
        <v>839</v>
      </c>
      <c r="R11" s="835">
        <v>1</v>
      </c>
      <c r="S11" s="839">
        <v>10</v>
      </c>
      <c r="T11" s="837">
        <f t="shared" si="3"/>
        <v>10</v>
      </c>
      <c r="U11" s="836">
        <f t="shared" si="4"/>
        <v>0.01</v>
      </c>
      <c r="V11" s="3348"/>
      <c r="X11" s="6" t="s">
        <v>1010</v>
      </c>
      <c r="Y11" s="839" t="s">
        <v>1011</v>
      </c>
      <c r="Z11" s="835" t="s">
        <v>1012</v>
      </c>
      <c r="AA11" s="831"/>
      <c r="AB11" s="6" t="s">
        <v>1013</v>
      </c>
      <c r="AC11" s="839" t="s">
        <v>1008</v>
      </c>
      <c r="AD11" s="835" t="s">
        <v>1014</v>
      </c>
      <c r="AE11" s="831"/>
      <c r="AF11" s="864"/>
      <c r="AG11" s="865"/>
      <c r="AH11" s="865"/>
      <c r="AI11" s="865"/>
      <c r="AJ11" s="865"/>
      <c r="AK11" s="865"/>
      <c r="AL11" s="865"/>
      <c r="AM11" s="865"/>
      <c r="AN11" s="866"/>
      <c r="AO11" s="866"/>
      <c r="AP11" s="866"/>
      <c r="AQ11" s="866"/>
      <c r="AR11" s="866"/>
      <c r="AS11" s="866"/>
      <c r="AT11" s="77"/>
      <c r="AV11" s="876"/>
      <c r="AX11" s="876"/>
      <c r="AY11" s="876"/>
      <c r="AZ11" s="878"/>
      <c r="BA11" s="876"/>
      <c r="BB11" s="876"/>
      <c r="BC11" s="876"/>
      <c r="BD11" s="876"/>
      <c r="BE11" s="876"/>
      <c r="BF11" s="876"/>
      <c r="BG11" s="866"/>
      <c r="BH11" s="866"/>
      <c r="BI11" s="866"/>
      <c r="BJ11" s="77"/>
    </row>
    <row r="12" spans="1:62" ht="18.75">
      <c r="A12" s="3348"/>
      <c r="B12" s="840">
        <v>6</v>
      </c>
      <c r="C12" s="6" t="s">
        <v>840</v>
      </c>
      <c r="D12" s="835">
        <v>350</v>
      </c>
      <c r="E12" s="839">
        <v>10</v>
      </c>
      <c r="F12" s="837">
        <f t="shared" si="0"/>
        <v>3500</v>
      </c>
      <c r="G12" s="836">
        <f t="shared" si="6"/>
        <v>3.5</v>
      </c>
      <c r="H12" s="3348"/>
      <c r="I12" s="840">
        <v>60</v>
      </c>
      <c r="J12" s="6" t="s">
        <v>841</v>
      </c>
      <c r="K12" s="835">
        <v>1500</v>
      </c>
      <c r="L12" s="839">
        <v>10</v>
      </c>
      <c r="M12" s="837">
        <f t="shared" si="5"/>
        <v>15000</v>
      </c>
      <c r="N12" s="838">
        <f t="shared" si="2"/>
        <v>15</v>
      </c>
      <c r="O12" s="3348"/>
      <c r="P12" s="840">
        <v>117</v>
      </c>
      <c r="Q12" s="6" t="s">
        <v>842</v>
      </c>
      <c r="R12" s="835">
        <v>50</v>
      </c>
      <c r="S12" s="839">
        <v>10</v>
      </c>
      <c r="T12" s="837">
        <f t="shared" si="3"/>
        <v>500</v>
      </c>
      <c r="U12" s="836">
        <f t="shared" si="4"/>
        <v>0.5</v>
      </c>
      <c r="V12" s="3348"/>
      <c r="X12" s="6" t="s">
        <v>1015</v>
      </c>
      <c r="Y12" s="839">
        <v>1</v>
      </c>
      <c r="Z12" s="835" t="s">
        <v>1016</v>
      </c>
      <c r="AA12" s="831"/>
      <c r="AB12" s="6" t="s">
        <v>1017</v>
      </c>
      <c r="AC12" s="839" t="s">
        <v>1018</v>
      </c>
      <c r="AD12" s="835" t="s">
        <v>1019</v>
      </c>
      <c r="AE12" s="831"/>
      <c r="AF12" s="864" t="s">
        <v>1413</v>
      </c>
      <c r="AG12" s="865"/>
      <c r="AH12" s="865"/>
      <c r="AI12" s="865"/>
      <c r="AJ12" s="865"/>
      <c r="AK12" s="865"/>
      <c r="AL12" s="865"/>
      <c r="AM12" s="865"/>
      <c r="AN12" s="866"/>
      <c r="AO12" s="866"/>
      <c r="AP12" s="866"/>
      <c r="AQ12" s="866"/>
      <c r="AR12" s="866"/>
      <c r="AS12" s="866"/>
      <c r="AT12" s="77"/>
      <c r="AV12" s="880" t="s">
        <v>995</v>
      </c>
      <c r="AX12" s="881" t="s">
        <v>996</v>
      </c>
      <c r="AY12" s="876"/>
      <c r="AZ12" s="878"/>
      <c r="BA12" s="876"/>
      <c r="BB12" s="876"/>
      <c r="BC12" s="876"/>
      <c r="BD12" s="876"/>
      <c r="BE12" s="876"/>
      <c r="BF12" s="876"/>
      <c r="BG12" s="866"/>
      <c r="BH12" s="866"/>
      <c r="BI12" s="866"/>
      <c r="BJ12" s="77"/>
    </row>
    <row r="13" spans="1:62" ht="18.75">
      <c r="A13" s="3348"/>
      <c r="B13" s="840">
        <v>7</v>
      </c>
      <c r="C13" s="6" t="s">
        <v>843</v>
      </c>
      <c r="D13" s="835">
        <v>110</v>
      </c>
      <c r="E13" s="839">
        <v>10</v>
      </c>
      <c r="F13" s="837">
        <f t="shared" si="0"/>
        <v>1100</v>
      </c>
      <c r="G13" s="836">
        <f t="shared" si="6"/>
        <v>1.1000000000000001</v>
      </c>
      <c r="H13" s="3348"/>
      <c r="I13" s="840">
        <v>61</v>
      </c>
      <c r="J13" s="6" t="s">
        <v>844</v>
      </c>
      <c r="K13" s="835">
        <v>150</v>
      </c>
      <c r="L13" s="839">
        <v>10</v>
      </c>
      <c r="M13" s="837">
        <f t="shared" si="5"/>
        <v>1500</v>
      </c>
      <c r="N13" s="836">
        <f t="shared" si="2"/>
        <v>1.5</v>
      </c>
      <c r="O13" s="3348"/>
      <c r="P13" s="840">
        <v>118</v>
      </c>
      <c r="Q13" s="6" t="s">
        <v>845</v>
      </c>
      <c r="R13" s="835">
        <v>15</v>
      </c>
      <c r="S13" s="839">
        <v>10</v>
      </c>
      <c r="T13" s="837">
        <f t="shared" si="3"/>
        <v>150</v>
      </c>
      <c r="U13" s="836">
        <f t="shared" si="4"/>
        <v>0.15</v>
      </c>
      <c r="V13" s="3348"/>
      <c r="X13" s="6"/>
      <c r="Y13" s="839"/>
      <c r="Z13" s="835"/>
      <c r="AA13" s="831"/>
      <c r="AB13" s="6" t="s">
        <v>1020</v>
      </c>
      <c r="AC13" s="839" t="s">
        <v>1021</v>
      </c>
      <c r="AD13" s="835" t="s">
        <v>1022</v>
      </c>
      <c r="AE13" s="831"/>
      <c r="AF13" s="864"/>
      <c r="AG13" s="865"/>
      <c r="AH13" s="865"/>
      <c r="AI13" s="865"/>
      <c r="AJ13" s="865"/>
      <c r="AK13" s="865"/>
      <c r="AL13" s="865"/>
      <c r="AM13" s="865"/>
      <c r="AN13" s="866"/>
      <c r="AO13" s="866"/>
      <c r="AP13" s="866"/>
      <c r="AQ13" s="866"/>
      <c r="AR13" s="866"/>
      <c r="AS13" s="866"/>
      <c r="AT13" s="77"/>
      <c r="AV13" s="876"/>
      <c r="AW13" s="876"/>
      <c r="AX13" s="876"/>
      <c r="AY13" s="876"/>
      <c r="AZ13" s="878"/>
      <c r="BA13" s="878"/>
      <c r="BB13" s="876"/>
      <c r="BC13" s="876"/>
      <c r="BD13" s="876"/>
      <c r="BE13" s="876"/>
      <c r="BF13" s="876"/>
      <c r="BG13" s="866"/>
      <c r="BH13" s="866"/>
      <c r="BI13" s="866"/>
      <c r="BJ13" s="77"/>
    </row>
    <row r="14" spans="1:62" ht="20.25">
      <c r="A14" s="3348"/>
      <c r="B14" s="840">
        <v>8</v>
      </c>
      <c r="C14" s="6" t="s">
        <v>846</v>
      </c>
      <c r="D14" s="835">
        <v>220</v>
      </c>
      <c r="E14" s="839">
        <v>10</v>
      </c>
      <c r="F14" s="837">
        <f t="shared" si="0"/>
        <v>2200</v>
      </c>
      <c r="G14" s="836">
        <f t="shared" si="6"/>
        <v>2.2000000000000002</v>
      </c>
      <c r="H14" s="3348"/>
      <c r="I14" s="840"/>
      <c r="J14" s="819" t="s">
        <v>847</v>
      </c>
      <c r="K14" s="835">
        <v>0</v>
      </c>
      <c r="L14" s="839"/>
      <c r="M14" s="837">
        <f t="shared" si="5"/>
        <v>0</v>
      </c>
      <c r="N14" s="836">
        <f t="shared" si="2"/>
        <v>0</v>
      </c>
      <c r="O14" s="3348"/>
      <c r="P14" s="840">
        <v>119</v>
      </c>
      <c r="Q14" s="6" t="s">
        <v>848</v>
      </c>
      <c r="R14" s="835">
        <v>200</v>
      </c>
      <c r="S14" s="839">
        <v>10</v>
      </c>
      <c r="T14" s="837">
        <f t="shared" si="3"/>
        <v>2000</v>
      </c>
      <c r="U14" s="836">
        <f t="shared" si="4"/>
        <v>2</v>
      </c>
      <c r="V14" s="3348"/>
      <c r="X14" s="6" t="s">
        <v>1023</v>
      </c>
      <c r="Y14" s="839" t="s">
        <v>1024</v>
      </c>
      <c r="Z14" s="835" t="s">
        <v>1025</v>
      </c>
      <c r="AA14" s="831"/>
      <c r="AB14" s="6" t="s">
        <v>1026</v>
      </c>
      <c r="AC14" s="839" t="s">
        <v>1021</v>
      </c>
      <c r="AD14" s="835" t="s">
        <v>1027</v>
      </c>
      <c r="AE14" s="831"/>
      <c r="AF14" s="867" t="s">
        <v>1410</v>
      </c>
      <c r="AG14" s="865"/>
      <c r="AH14" s="865"/>
      <c r="AI14" s="865"/>
      <c r="AJ14" s="865"/>
      <c r="AK14" s="865"/>
      <c r="AL14" s="865"/>
      <c r="AM14" s="865"/>
      <c r="AN14" s="866"/>
      <c r="AO14" s="866"/>
      <c r="AP14" s="866"/>
      <c r="AQ14" s="866"/>
      <c r="AR14" s="866"/>
      <c r="AS14" s="866"/>
      <c r="AT14" s="77"/>
      <c r="AV14" s="882" t="s">
        <v>997</v>
      </c>
      <c r="AW14" s="876"/>
      <c r="AX14" s="876"/>
      <c r="AY14" s="881" t="s">
        <v>998</v>
      </c>
      <c r="AZ14" s="878"/>
      <c r="BA14" s="878"/>
      <c r="BB14" s="876"/>
      <c r="BC14" s="876"/>
      <c r="BD14" s="876"/>
      <c r="BE14" s="876"/>
      <c r="BF14" s="876"/>
      <c r="BG14" s="866"/>
      <c r="BH14" s="866"/>
      <c r="BI14" s="866"/>
      <c r="BJ14" s="77"/>
    </row>
    <row r="15" spans="1:62" ht="20.25">
      <c r="A15" s="3348"/>
      <c r="B15" s="840"/>
      <c r="C15" s="827" t="s">
        <v>353</v>
      </c>
      <c r="D15" s="835">
        <v>0</v>
      </c>
      <c r="E15" s="839"/>
      <c r="F15" s="837">
        <f t="shared" si="0"/>
        <v>0</v>
      </c>
      <c r="G15" s="836">
        <f t="shared" si="6"/>
        <v>0</v>
      </c>
      <c r="H15" s="3348"/>
      <c r="I15" s="840">
        <v>62</v>
      </c>
      <c r="J15" s="6" t="s">
        <v>849</v>
      </c>
      <c r="K15" s="835">
        <v>10</v>
      </c>
      <c r="L15" s="839">
        <v>10</v>
      </c>
      <c r="M15" s="837">
        <f t="shared" si="5"/>
        <v>100</v>
      </c>
      <c r="N15" s="836">
        <f t="shared" si="2"/>
        <v>0.1</v>
      </c>
      <c r="O15" s="3348"/>
      <c r="P15" s="840">
        <v>120</v>
      </c>
      <c r="Q15" s="6" t="s">
        <v>850</v>
      </c>
      <c r="R15" s="835">
        <v>12</v>
      </c>
      <c r="S15" s="839">
        <v>10</v>
      </c>
      <c r="T15" s="837">
        <f t="shared" si="3"/>
        <v>120</v>
      </c>
      <c r="U15" s="836">
        <f t="shared" si="4"/>
        <v>0.12</v>
      </c>
      <c r="V15" s="3348"/>
      <c r="X15" s="6" t="s">
        <v>851</v>
      </c>
      <c r="Y15" s="839" t="s">
        <v>1008</v>
      </c>
      <c r="Z15" s="835" t="s">
        <v>1028</v>
      </c>
      <c r="AA15" s="831"/>
      <c r="AB15" s="6" t="s">
        <v>1029</v>
      </c>
      <c r="AC15" s="839" t="s">
        <v>1011</v>
      </c>
      <c r="AD15" s="835" t="s">
        <v>1030</v>
      </c>
      <c r="AE15" s="831"/>
      <c r="AF15" s="867"/>
      <c r="AG15" s="865"/>
      <c r="AH15" s="865"/>
      <c r="AI15" s="865"/>
      <c r="AJ15" s="865"/>
      <c r="AK15" s="865"/>
      <c r="AL15" s="865"/>
      <c r="AM15" s="865"/>
      <c r="AN15" s="866"/>
      <c r="AO15" s="866"/>
      <c r="AP15" s="866"/>
      <c r="AQ15" s="866"/>
      <c r="AR15" s="866"/>
      <c r="AS15" s="866"/>
      <c r="AT15" s="77"/>
      <c r="AV15" s="882"/>
      <c r="AW15" s="876"/>
      <c r="AX15" s="876"/>
      <c r="AY15" s="881"/>
      <c r="AZ15" s="878"/>
      <c r="BA15" s="878"/>
      <c r="BB15" s="876"/>
      <c r="BC15" s="876"/>
      <c r="BD15" s="876"/>
      <c r="BE15" s="876"/>
      <c r="BF15" s="876"/>
      <c r="BG15" s="866"/>
      <c r="BH15" s="866"/>
      <c r="BI15" s="866"/>
      <c r="BJ15" s="77"/>
    </row>
    <row r="16" spans="1:62" ht="18.75">
      <c r="A16" s="3348"/>
      <c r="B16" s="840">
        <v>9</v>
      </c>
      <c r="C16" s="6" t="s">
        <v>851</v>
      </c>
      <c r="D16" s="835">
        <v>120</v>
      </c>
      <c r="E16" s="839">
        <v>10</v>
      </c>
      <c r="F16" s="837">
        <f t="shared" si="0"/>
        <v>1200</v>
      </c>
      <c r="G16" s="836">
        <f t="shared" si="6"/>
        <v>1.2</v>
      </c>
      <c r="H16" s="3348"/>
      <c r="I16" s="840">
        <v>63</v>
      </c>
      <c r="J16" s="6" t="s">
        <v>852</v>
      </c>
      <c r="K16" s="835">
        <v>800</v>
      </c>
      <c r="L16" s="839">
        <v>10</v>
      </c>
      <c r="M16" s="837">
        <f t="shared" si="5"/>
        <v>8000</v>
      </c>
      <c r="N16" s="836">
        <f t="shared" si="2"/>
        <v>8</v>
      </c>
      <c r="O16" s="3348"/>
      <c r="P16" s="840">
        <v>121</v>
      </c>
      <c r="Q16" s="6" t="s">
        <v>853</v>
      </c>
      <c r="R16" s="835">
        <v>12</v>
      </c>
      <c r="S16" s="839">
        <v>10</v>
      </c>
      <c r="T16" s="837">
        <f t="shared" si="3"/>
        <v>120</v>
      </c>
      <c r="U16" s="836">
        <f t="shared" si="4"/>
        <v>0.12</v>
      </c>
      <c r="V16" s="3348"/>
      <c r="X16" s="6" t="s">
        <v>210</v>
      </c>
      <c r="Y16" s="839" t="s">
        <v>1021</v>
      </c>
      <c r="Z16" s="835" t="s">
        <v>1022</v>
      </c>
      <c r="AA16" s="831"/>
      <c r="AB16" s="6" t="s">
        <v>858</v>
      </c>
      <c r="AC16" s="839" t="s">
        <v>1018</v>
      </c>
      <c r="AD16" s="835" t="s">
        <v>1031</v>
      </c>
      <c r="AE16" s="831"/>
      <c r="AF16" s="864" t="s">
        <v>1414</v>
      </c>
      <c r="AG16" s="865"/>
      <c r="AH16" s="865"/>
      <c r="AI16" s="865"/>
      <c r="AJ16" s="865"/>
      <c r="AK16" s="865"/>
      <c r="AL16" s="865"/>
      <c r="AM16" s="865"/>
      <c r="AN16" s="866"/>
      <c r="AO16" s="866"/>
      <c r="AP16" s="866"/>
      <c r="AQ16" s="866"/>
      <c r="AR16" s="866"/>
      <c r="AS16" s="866"/>
      <c r="AT16" s="77"/>
      <c r="AV16" s="882" t="s">
        <v>999</v>
      </c>
      <c r="AW16" s="883" t="s">
        <v>1000</v>
      </c>
      <c r="AX16" s="883"/>
      <c r="AY16" s="884"/>
      <c r="AZ16" s="885"/>
      <c r="BA16" s="878"/>
      <c r="BB16" s="876"/>
      <c r="BC16" s="876"/>
      <c r="BD16" s="876"/>
      <c r="BE16" s="876"/>
      <c r="BF16" s="876"/>
      <c r="BG16" s="866"/>
      <c r="BH16" s="866"/>
      <c r="BI16" s="866"/>
      <c r="BJ16" s="77"/>
    </row>
    <row r="17" spans="1:62" ht="15.75" customHeight="1">
      <c r="A17" s="3348"/>
      <c r="B17" s="840">
        <v>10</v>
      </c>
      <c r="C17" s="6" t="s">
        <v>854</v>
      </c>
      <c r="D17" s="835">
        <v>8</v>
      </c>
      <c r="E17" s="839">
        <v>10</v>
      </c>
      <c r="F17" s="837">
        <f t="shared" si="0"/>
        <v>80</v>
      </c>
      <c r="G17" s="836">
        <f t="shared" si="6"/>
        <v>0.08</v>
      </c>
      <c r="H17" s="3348"/>
      <c r="I17" s="840">
        <v>64</v>
      </c>
      <c r="J17" s="6" t="s">
        <v>855</v>
      </c>
      <c r="K17" s="835">
        <v>500</v>
      </c>
      <c r="L17" s="839">
        <v>10</v>
      </c>
      <c r="M17" s="837">
        <f t="shared" si="5"/>
        <v>5000</v>
      </c>
      <c r="N17" s="836">
        <f t="shared" si="2"/>
        <v>5</v>
      </c>
      <c r="O17" s="3348"/>
      <c r="P17" s="840">
        <v>122</v>
      </c>
      <c r="Q17" s="6" t="s">
        <v>856</v>
      </c>
      <c r="R17" s="835">
        <v>19</v>
      </c>
      <c r="S17" s="839">
        <v>10</v>
      </c>
      <c r="T17" s="837">
        <f t="shared" si="3"/>
        <v>190</v>
      </c>
      <c r="U17" s="836">
        <f t="shared" si="4"/>
        <v>0.19</v>
      </c>
      <c r="V17" s="3348"/>
      <c r="X17" s="6" t="s">
        <v>1032</v>
      </c>
      <c r="Y17" s="839" t="s">
        <v>1021</v>
      </c>
      <c r="Z17" s="835" t="s">
        <v>1033</v>
      </c>
      <c r="AA17" s="831"/>
      <c r="AB17" s="6" t="s">
        <v>1034</v>
      </c>
      <c r="AC17" s="839" t="s">
        <v>1021</v>
      </c>
      <c r="AD17" s="835" t="s">
        <v>1035</v>
      </c>
      <c r="AE17" s="831"/>
      <c r="AF17" s="864"/>
      <c r="AG17" s="865"/>
      <c r="AH17" s="865"/>
      <c r="AI17" s="865"/>
      <c r="AJ17" s="865"/>
      <c r="AK17" s="865"/>
      <c r="AL17" s="865"/>
      <c r="AM17" s="865"/>
      <c r="AN17" s="866"/>
      <c r="AO17" s="866"/>
      <c r="AP17" s="866"/>
      <c r="AQ17" s="866"/>
      <c r="AR17" s="866"/>
      <c r="AS17" s="866"/>
      <c r="AT17" s="77"/>
      <c r="AV17" s="882"/>
      <c r="AW17" s="883"/>
      <c r="AX17" s="883"/>
      <c r="AY17" s="884"/>
      <c r="AZ17" s="885"/>
      <c r="BA17" s="878"/>
      <c r="BB17" s="876"/>
      <c r="BC17" s="876"/>
      <c r="BD17" s="876"/>
      <c r="BE17" s="876"/>
      <c r="BF17" s="876"/>
      <c r="BG17" s="866"/>
      <c r="BH17" s="866"/>
      <c r="BI17" s="866"/>
      <c r="BJ17" s="77"/>
    </row>
    <row r="18" spans="1:62" ht="15.75" customHeight="1">
      <c r="A18" s="3348"/>
      <c r="B18" s="840">
        <v>11</v>
      </c>
      <c r="C18" s="6" t="s">
        <v>857</v>
      </c>
      <c r="D18" s="835">
        <v>4</v>
      </c>
      <c r="E18" s="839">
        <v>10</v>
      </c>
      <c r="F18" s="837">
        <f t="shared" si="0"/>
        <v>40</v>
      </c>
      <c r="G18" s="836">
        <f t="shared" si="6"/>
        <v>0.04</v>
      </c>
      <c r="H18" s="3348"/>
      <c r="I18" s="840">
        <v>65</v>
      </c>
      <c r="J18" s="6" t="s">
        <v>858</v>
      </c>
      <c r="K18" s="835">
        <v>230</v>
      </c>
      <c r="L18" s="839">
        <v>10</v>
      </c>
      <c r="M18" s="837">
        <f t="shared" si="5"/>
        <v>2300</v>
      </c>
      <c r="N18" s="836">
        <f t="shared" si="2"/>
        <v>2.2999999999999998</v>
      </c>
      <c r="O18" s="3348"/>
      <c r="P18" s="840">
        <v>123</v>
      </c>
      <c r="Q18" s="6" t="s">
        <v>859</v>
      </c>
      <c r="R18" s="835">
        <v>12</v>
      </c>
      <c r="S18" s="839">
        <v>10</v>
      </c>
      <c r="T18" s="837">
        <f t="shared" si="3"/>
        <v>120</v>
      </c>
      <c r="U18" s="836">
        <f t="shared" si="4"/>
        <v>0.12</v>
      </c>
      <c r="V18" s="3348"/>
      <c r="X18" s="6" t="s">
        <v>1036</v>
      </c>
      <c r="Y18" s="839" t="s">
        <v>1037</v>
      </c>
      <c r="Z18" s="847" t="s">
        <v>1038</v>
      </c>
      <c r="AA18" s="831"/>
      <c r="AB18" s="6" t="s">
        <v>1039</v>
      </c>
      <c r="AC18" s="839" t="s">
        <v>1040</v>
      </c>
      <c r="AD18" s="847" t="s">
        <v>1041</v>
      </c>
      <c r="AE18" s="831"/>
      <c r="AF18" s="864" t="s">
        <v>1415</v>
      </c>
      <c r="AG18" s="865"/>
      <c r="AH18" s="865"/>
      <c r="AI18" s="865"/>
      <c r="AJ18" s="865"/>
      <c r="AK18" s="865"/>
      <c r="AL18" s="865"/>
      <c r="AM18" s="865"/>
      <c r="AN18" s="866"/>
      <c r="AO18" s="866"/>
      <c r="AP18" s="866"/>
      <c r="AQ18" s="866"/>
      <c r="AR18" s="866"/>
      <c r="AS18" s="866"/>
      <c r="AT18" s="77"/>
      <c r="AV18" s="882" t="s">
        <v>1001</v>
      </c>
      <c r="AW18" s="883"/>
      <c r="AX18" s="883" t="s">
        <v>1002</v>
      </c>
      <c r="AY18" s="884"/>
      <c r="AZ18" s="885"/>
      <c r="BA18" s="878"/>
      <c r="BB18" s="876"/>
      <c r="BC18" s="876"/>
      <c r="BD18" s="876"/>
      <c r="BE18" s="876"/>
      <c r="BF18" s="876"/>
      <c r="BG18" s="866"/>
      <c r="BH18" s="866"/>
      <c r="BI18" s="866"/>
      <c r="BJ18" s="77"/>
    </row>
    <row r="19" spans="1:62" ht="18.75">
      <c r="A19" s="3348"/>
      <c r="B19" s="840">
        <v>12</v>
      </c>
      <c r="C19" s="6" t="s">
        <v>860</v>
      </c>
      <c r="D19" s="835">
        <v>15</v>
      </c>
      <c r="E19" s="839">
        <v>10</v>
      </c>
      <c r="F19" s="837">
        <f t="shared" si="0"/>
        <v>150</v>
      </c>
      <c r="G19" s="836">
        <f t="shared" si="6"/>
        <v>0.15</v>
      </c>
      <c r="H19" s="3348"/>
      <c r="I19" s="840">
        <v>66</v>
      </c>
      <c r="J19" s="6" t="s">
        <v>861</v>
      </c>
      <c r="K19" s="835">
        <v>9.5</v>
      </c>
      <c r="L19" s="839">
        <v>10</v>
      </c>
      <c r="M19" s="837">
        <f t="shared" si="5"/>
        <v>95</v>
      </c>
      <c r="N19" s="836">
        <f t="shared" si="2"/>
        <v>9.5000000000000001E-2</v>
      </c>
      <c r="O19" s="3348"/>
      <c r="P19" s="840">
        <v>124</v>
      </c>
      <c r="Q19" s="6" t="s">
        <v>862</v>
      </c>
      <c r="R19" s="835">
        <v>13</v>
      </c>
      <c r="S19" s="839">
        <v>10</v>
      </c>
      <c r="T19" s="837">
        <f t="shared" si="3"/>
        <v>130</v>
      </c>
      <c r="U19" s="836">
        <f t="shared" si="4"/>
        <v>0.13</v>
      </c>
      <c r="V19" s="3348"/>
      <c r="X19" s="6" t="s">
        <v>1042</v>
      </c>
      <c r="Y19" s="839">
        <v>1</v>
      </c>
      <c r="Z19" s="835" t="s">
        <v>1043</v>
      </c>
      <c r="AA19" s="831"/>
      <c r="AB19" s="6" t="s">
        <v>1044</v>
      </c>
      <c r="AC19" s="839" t="s">
        <v>1045</v>
      </c>
      <c r="AD19" s="835" t="s">
        <v>1046</v>
      </c>
      <c r="AE19" s="831"/>
      <c r="AF19" s="864"/>
      <c r="AG19" s="865"/>
      <c r="AH19" s="865"/>
      <c r="AI19" s="865"/>
      <c r="AJ19" s="865"/>
      <c r="AK19" s="865"/>
      <c r="AL19" s="865"/>
      <c r="AM19" s="865"/>
      <c r="AN19" s="866"/>
      <c r="AO19" s="866"/>
      <c r="AP19" s="866"/>
      <c r="AQ19" s="866"/>
      <c r="AR19" s="866"/>
      <c r="AS19" s="866"/>
      <c r="AT19" s="77"/>
      <c r="AV19" s="882"/>
      <c r="AW19" s="883"/>
      <c r="AX19" s="883"/>
      <c r="AY19" s="884"/>
      <c r="AZ19" s="885"/>
      <c r="BA19" s="878"/>
      <c r="BB19" s="876"/>
      <c r="BC19" s="876"/>
      <c r="BD19" s="876"/>
      <c r="BE19" s="876"/>
      <c r="BF19" s="876"/>
      <c r="BG19" s="866"/>
      <c r="BH19" s="866"/>
      <c r="BI19" s="866"/>
      <c r="BJ19" s="77"/>
    </row>
    <row r="20" spans="1:62" ht="18.75">
      <c r="A20" s="3348"/>
      <c r="B20" s="840">
        <v>13</v>
      </c>
      <c r="C20" s="6" t="s">
        <v>863</v>
      </c>
      <c r="D20" s="835">
        <v>4</v>
      </c>
      <c r="E20" s="839">
        <v>10</v>
      </c>
      <c r="F20" s="837">
        <f t="shared" si="0"/>
        <v>40</v>
      </c>
      <c r="G20" s="836">
        <f t="shared" si="6"/>
        <v>0.04</v>
      </c>
      <c r="H20" s="3348"/>
      <c r="I20" s="840">
        <v>67</v>
      </c>
      <c r="J20" s="6" t="s">
        <v>864</v>
      </c>
      <c r="K20" s="835">
        <v>900</v>
      </c>
      <c r="L20" s="839">
        <v>10</v>
      </c>
      <c r="M20" s="837">
        <f t="shared" si="5"/>
        <v>9000</v>
      </c>
      <c r="N20" s="836">
        <f t="shared" si="2"/>
        <v>9</v>
      </c>
      <c r="O20" s="3348"/>
      <c r="P20" s="840">
        <v>125</v>
      </c>
      <c r="Q20" s="6" t="s">
        <v>865</v>
      </c>
      <c r="R20" s="835">
        <v>12</v>
      </c>
      <c r="S20" s="839">
        <v>10</v>
      </c>
      <c r="T20" s="837">
        <f>(R20*S20)/1000</f>
        <v>0.12</v>
      </c>
      <c r="U20" s="836">
        <f t="shared" si="4"/>
        <v>1.1999999999999999E-4</v>
      </c>
      <c r="V20" s="3348"/>
      <c r="X20" s="6" t="s">
        <v>1047</v>
      </c>
      <c r="Y20" s="839">
        <v>1</v>
      </c>
      <c r="Z20" s="835" t="s">
        <v>1048</v>
      </c>
      <c r="AA20" s="831"/>
      <c r="AB20" s="6" t="s">
        <v>1049</v>
      </c>
      <c r="AC20" s="839" t="s">
        <v>1050</v>
      </c>
      <c r="AD20" s="835" t="s">
        <v>1051</v>
      </c>
      <c r="AE20" s="831"/>
      <c r="AF20" s="867" t="s">
        <v>1416</v>
      </c>
      <c r="AG20" s="865"/>
      <c r="AH20" s="865"/>
      <c r="AI20" s="865"/>
      <c r="AJ20" s="865"/>
      <c r="AK20" s="865"/>
      <c r="AL20" s="865"/>
      <c r="AM20" s="865"/>
      <c r="AN20" s="866"/>
      <c r="AO20" s="866"/>
      <c r="AP20" s="866"/>
      <c r="AQ20" s="866"/>
      <c r="AR20" s="866"/>
      <c r="AS20" s="866"/>
      <c r="AT20" s="77"/>
      <c r="AV20" s="883" t="s">
        <v>1003</v>
      </c>
      <c r="AW20" s="883"/>
      <c r="AX20" s="883"/>
      <c r="AY20" s="884"/>
      <c r="AZ20" s="885"/>
      <c r="BA20" s="878"/>
      <c r="BB20" s="876"/>
      <c r="BC20" s="876"/>
      <c r="BD20" s="876"/>
      <c r="BE20" s="876"/>
      <c r="BF20" s="876"/>
      <c r="BG20" s="866"/>
      <c r="BH20" s="866"/>
      <c r="BI20" s="866"/>
      <c r="BJ20" s="77"/>
    </row>
    <row r="21" spans="1:62" ht="18.75">
      <c r="A21" s="3348"/>
      <c r="B21" s="840">
        <v>14</v>
      </c>
      <c r="C21" s="6" t="s">
        <v>866</v>
      </c>
      <c r="D21" s="835">
        <v>15</v>
      </c>
      <c r="E21" s="839">
        <v>10</v>
      </c>
      <c r="F21" s="837">
        <f t="shared" si="0"/>
        <v>150</v>
      </c>
      <c r="G21" s="836">
        <f t="shared" si="6"/>
        <v>0.15</v>
      </c>
      <c r="H21" s="3348"/>
      <c r="I21" s="840">
        <v>68</v>
      </c>
      <c r="J21" s="6" t="s">
        <v>867</v>
      </c>
      <c r="K21" s="835">
        <v>900</v>
      </c>
      <c r="L21" s="839">
        <v>10</v>
      </c>
      <c r="M21" s="837">
        <f t="shared" si="5"/>
        <v>9000</v>
      </c>
      <c r="N21" s="836">
        <f t="shared" si="2"/>
        <v>9</v>
      </c>
      <c r="O21" s="3348"/>
      <c r="P21" s="840">
        <v>126</v>
      </c>
      <c r="Q21" s="6" t="s">
        <v>868</v>
      </c>
      <c r="R21" s="835">
        <v>13</v>
      </c>
      <c r="S21" s="839">
        <v>10</v>
      </c>
      <c r="T21" s="837">
        <f>(R21*S21)/1000</f>
        <v>0.13</v>
      </c>
      <c r="U21" s="836">
        <f t="shared" si="4"/>
        <v>1.3000000000000002E-4</v>
      </c>
      <c r="V21" s="3348"/>
      <c r="X21" s="6" t="s">
        <v>1052</v>
      </c>
      <c r="Y21" s="839" t="s">
        <v>1045</v>
      </c>
      <c r="Z21" s="835" t="s">
        <v>1046</v>
      </c>
      <c r="AA21" s="831"/>
      <c r="AB21" s="6"/>
      <c r="AC21" s="839"/>
      <c r="AD21" s="835"/>
      <c r="AE21" s="831"/>
      <c r="AF21" s="867"/>
      <c r="AG21" s="865"/>
      <c r="AH21" s="865"/>
      <c r="AI21" s="865"/>
      <c r="AJ21" s="865"/>
      <c r="AK21" s="865"/>
      <c r="AL21" s="865"/>
      <c r="AM21" s="865"/>
      <c r="AN21" s="866"/>
      <c r="AO21" s="866"/>
      <c r="AP21" s="866"/>
      <c r="AQ21" s="866"/>
      <c r="AR21" s="866"/>
      <c r="AS21" s="866"/>
      <c r="AT21" s="77"/>
      <c r="AV21" s="884"/>
      <c r="AW21" s="876"/>
      <c r="AX21" s="876"/>
      <c r="AY21" s="876"/>
      <c r="AZ21" s="876"/>
      <c r="BA21" s="885"/>
      <c r="BB21" s="876"/>
      <c r="BC21" s="876"/>
      <c r="BD21" s="876"/>
      <c r="BE21" s="876"/>
      <c r="BF21" s="876"/>
      <c r="BG21" s="866"/>
      <c r="BH21" s="866"/>
      <c r="BI21" s="866"/>
      <c r="BJ21" s="77"/>
    </row>
    <row r="22" spans="1:62" ht="18.75">
      <c r="A22" s="3348"/>
      <c r="B22" s="840">
        <v>15</v>
      </c>
      <c r="C22" s="6" t="s">
        <v>869</v>
      </c>
      <c r="D22" s="835">
        <v>200</v>
      </c>
      <c r="E22" s="839">
        <v>10</v>
      </c>
      <c r="F22" s="837">
        <f t="shared" si="0"/>
        <v>2000</v>
      </c>
      <c r="G22" s="836">
        <f t="shared" si="6"/>
        <v>2</v>
      </c>
      <c r="H22" s="3348"/>
      <c r="I22" s="840">
        <v>69</v>
      </c>
      <c r="J22" s="6" t="s">
        <v>870</v>
      </c>
      <c r="K22" s="835">
        <v>230</v>
      </c>
      <c r="L22" s="839">
        <v>10</v>
      </c>
      <c r="M22" s="837">
        <f t="shared" si="5"/>
        <v>2300</v>
      </c>
      <c r="N22" s="836">
        <f t="shared" si="2"/>
        <v>2.2999999999999998</v>
      </c>
      <c r="O22" s="3348"/>
      <c r="P22" s="840">
        <v>127</v>
      </c>
      <c r="Q22" s="6" t="s">
        <v>871</v>
      </c>
      <c r="R22" s="835">
        <v>110</v>
      </c>
      <c r="S22" s="839">
        <v>10</v>
      </c>
      <c r="T22" s="837">
        <f>(R22*S22)/1000</f>
        <v>1.1000000000000001</v>
      </c>
      <c r="U22" s="836">
        <f t="shared" si="4"/>
        <v>1.1000000000000001E-3</v>
      </c>
      <c r="V22" s="3348"/>
      <c r="X22" s="6" t="s">
        <v>1053</v>
      </c>
      <c r="Y22" s="839">
        <v>1</v>
      </c>
      <c r="Z22" s="835" t="s">
        <v>1054</v>
      </c>
      <c r="AA22" s="831"/>
      <c r="AB22" s="6" t="s">
        <v>1055</v>
      </c>
      <c r="AC22" s="839">
        <v>1</v>
      </c>
      <c r="AD22" s="835" t="s">
        <v>1056</v>
      </c>
      <c r="AE22" s="831"/>
      <c r="AF22" s="867" t="s">
        <v>1417</v>
      </c>
      <c r="AG22" s="865"/>
      <c r="AH22" s="865"/>
      <c r="AI22" s="865"/>
      <c r="AJ22" s="865"/>
      <c r="AK22" s="865"/>
      <c r="AL22" s="865"/>
      <c r="AM22" s="865"/>
      <c r="AN22" s="866"/>
      <c r="AO22" s="866"/>
      <c r="AP22" s="866"/>
      <c r="AQ22" s="866"/>
      <c r="AR22" s="866"/>
      <c r="AS22" s="866"/>
      <c r="AT22" s="77"/>
      <c r="AV22" s="879" t="s">
        <v>1314</v>
      </c>
      <c r="AW22" s="876"/>
      <c r="AX22" s="876"/>
      <c r="AY22" s="876"/>
      <c r="AZ22" s="876"/>
      <c r="BA22" s="885"/>
      <c r="BB22" s="876"/>
      <c r="BC22" s="876"/>
      <c r="BD22" s="876"/>
      <c r="BE22" s="876"/>
      <c r="BF22" s="876"/>
      <c r="BG22" s="866"/>
      <c r="BH22" s="866"/>
      <c r="BI22" s="866"/>
      <c r="BJ22" s="77"/>
    </row>
    <row r="23" spans="1:62" ht="18.75">
      <c r="A23" s="3348"/>
      <c r="B23" s="840">
        <v>16</v>
      </c>
      <c r="C23" s="6" t="s">
        <v>872</v>
      </c>
      <c r="D23" s="835">
        <v>500</v>
      </c>
      <c r="E23" s="839">
        <v>10</v>
      </c>
      <c r="F23" s="837">
        <f t="shared" si="0"/>
        <v>5000</v>
      </c>
      <c r="G23" s="836">
        <f t="shared" si="6"/>
        <v>5</v>
      </c>
      <c r="H23" s="3348"/>
      <c r="I23" s="840">
        <v>70</v>
      </c>
      <c r="J23" s="6" t="s">
        <v>873</v>
      </c>
      <c r="K23" s="835">
        <v>230</v>
      </c>
      <c r="L23" s="839">
        <v>10</v>
      </c>
      <c r="M23" s="837">
        <f t="shared" si="5"/>
        <v>2300</v>
      </c>
      <c r="N23" s="836">
        <f t="shared" si="2"/>
        <v>2.2999999999999998</v>
      </c>
      <c r="O23" s="3348"/>
      <c r="P23" s="840">
        <v>128</v>
      </c>
      <c r="Q23" s="6" t="s">
        <v>874</v>
      </c>
      <c r="R23" s="835">
        <v>130</v>
      </c>
      <c r="S23" s="839">
        <v>10</v>
      </c>
      <c r="T23" s="837">
        <f>(R23*S23)/1000</f>
        <v>1.3</v>
      </c>
      <c r="U23" s="836">
        <f t="shared" si="4"/>
        <v>1.2999999999999999E-3</v>
      </c>
      <c r="V23" s="3348"/>
      <c r="X23" s="6" t="s">
        <v>1057</v>
      </c>
      <c r="Y23" s="839">
        <v>1</v>
      </c>
      <c r="Z23" s="835" t="s">
        <v>1031</v>
      </c>
      <c r="AA23" s="831"/>
      <c r="AB23" s="6" t="s">
        <v>1058</v>
      </c>
      <c r="AC23" s="839" t="s">
        <v>1059</v>
      </c>
      <c r="AD23" s="835" t="s">
        <v>1060</v>
      </c>
      <c r="AE23" s="831"/>
      <c r="AF23" s="868" t="s">
        <v>1418</v>
      </c>
      <c r="AG23" s="865"/>
      <c r="AH23" s="865"/>
      <c r="AI23" s="865"/>
      <c r="AJ23" s="865"/>
      <c r="AK23" s="865"/>
      <c r="AL23" s="865"/>
      <c r="AM23" s="865"/>
      <c r="AN23" s="866"/>
      <c r="AO23" s="866"/>
      <c r="AP23" s="866"/>
      <c r="AQ23" s="866"/>
      <c r="AR23" s="866"/>
      <c r="AS23" s="866"/>
      <c r="AT23" s="77"/>
      <c r="AV23" s="884"/>
      <c r="AW23" s="876"/>
      <c r="AX23" s="876"/>
      <c r="AY23" s="876"/>
      <c r="AZ23" s="876"/>
      <c r="BA23" s="885"/>
      <c r="BB23" s="876"/>
      <c r="BC23" s="876"/>
      <c r="BD23" s="876"/>
      <c r="BE23" s="876"/>
      <c r="BF23" s="876"/>
      <c r="BG23" s="866"/>
      <c r="BH23" s="866"/>
      <c r="BI23" s="866"/>
      <c r="BJ23" s="77"/>
    </row>
    <row r="24" spans="1:62" ht="18.75">
      <c r="A24" s="3348"/>
      <c r="B24" s="840">
        <v>17</v>
      </c>
      <c r="C24" s="6" t="s">
        <v>875</v>
      </c>
      <c r="D24" s="835">
        <v>2750</v>
      </c>
      <c r="E24" s="839">
        <v>10</v>
      </c>
      <c r="F24" s="837">
        <f t="shared" si="0"/>
        <v>27500</v>
      </c>
      <c r="G24" s="838">
        <f t="shared" si="6"/>
        <v>27.5</v>
      </c>
      <c r="H24" s="3348"/>
      <c r="I24" s="840">
        <v>71</v>
      </c>
      <c r="J24" s="6" t="s">
        <v>876</v>
      </c>
      <c r="K24" s="835">
        <v>1.7</v>
      </c>
      <c r="L24" s="839">
        <v>10</v>
      </c>
      <c r="M24" s="837">
        <f t="shared" si="5"/>
        <v>17</v>
      </c>
      <c r="N24" s="836">
        <f t="shared" si="2"/>
        <v>1.7000000000000001E-2</v>
      </c>
      <c r="O24" s="3348"/>
      <c r="P24" s="840">
        <v>129</v>
      </c>
      <c r="Q24" s="6" t="s">
        <v>877</v>
      </c>
      <c r="R24" s="835">
        <v>280</v>
      </c>
      <c r="S24" s="839">
        <v>10</v>
      </c>
      <c r="T24" s="837">
        <f t="shared" ref="T24:T58" si="7">(R24*S24)</f>
        <v>2800</v>
      </c>
      <c r="U24" s="836">
        <f t="shared" si="4"/>
        <v>2.8</v>
      </c>
      <c r="V24" s="3348"/>
      <c r="X24" s="6" t="s">
        <v>1061</v>
      </c>
      <c r="Y24" s="839">
        <v>1</v>
      </c>
      <c r="Z24" s="835" t="s">
        <v>1031</v>
      </c>
      <c r="AA24" s="831"/>
      <c r="AB24" s="6"/>
      <c r="AC24" s="839"/>
      <c r="AD24" s="835"/>
      <c r="AE24" s="831"/>
      <c r="AF24" s="864" t="s">
        <v>1419</v>
      </c>
      <c r="AG24" s="865"/>
      <c r="AH24" s="865"/>
      <c r="AI24" s="865"/>
      <c r="AJ24" s="865"/>
      <c r="AK24" s="865"/>
      <c r="AL24" s="865"/>
      <c r="AM24" s="865"/>
      <c r="AN24" s="866"/>
      <c r="AO24" s="866"/>
      <c r="AP24" s="866"/>
      <c r="AQ24" s="866"/>
      <c r="AR24" s="866"/>
      <c r="AS24" s="866"/>
      <c r="AT24" s="77"/>
      <c r="AV24" s="879" t="s">
        <v>158</v>
      </c>
      <c r="AW24" s="876"/>
      <c r="AX24" s="876"/>
      <c r="AY24" s="876"/>
      <c r="AZ24" s="876"/>
      <c r="BA24" s="885"/>
      <c r="BB24" s="876"/>
      <c r="BC24" s="876"/>
      <c r="BD24" s="876"/>
      <c r="BE24" s="876"/>
      <c r="BF24" s="876"/>
      <c r="BG24" s="866"/>
      <c r="BH24" s="866"/>
      <c r="BI24" s="866"/>
      <c r="BJ24" s="77"/>
    </row>
    <row r="25" spans="1:62" ht="18.75">
      <c r="A25" s="3348"/>
      <c r="B25" s="840">
        <v>18</v>
      </c>
      <c r="C25" s="6" t="s">
        <v>878</v>
      </c>
      <c r="D25" s="835">
        <v>6000</v>
      </c>
      <c r="E25" s="839">
        <v>10</v>
      </c>
      <c r="F25" s="837">
        <f t="shared" si="0"/>
        <v>60000</v>
      </c>
      <c r="G25" s="838">
        <f t="shared" si="6"/>
        <v>60</v>
      </c>
      <c r="H25" s="3348"/>
      <c r="I25" s="840">
        <v>72</v>
      </c>
      <c r="J25" s="6" t="s">
        <v>879</v>
      </c>
      <c r="K25" s="835">
        <v>2.2000000000000002</v>
      </c>
      <c r="L25" s="839">
        <v>10</v>
      </c>
      <c r="M25" s="837">
        <f t="shared" si="5"/>
        <v>22</v>
      </c>
      <c r="N25" s="836">
        <f t="shared" si="2"/>
        <v>2.1999999999999999E-2</v>
      </c>
      <c r="O25" s="3348"/>
      <c r="P25" s="840">
        <v>130</v>
      </c>
      <c r="Q25" s="6" t="s">
        <v>880</v>
      </c>
      <c r="R25" s="835">
        <v>350</v>
      </c>
      <c r="S25" s="839">
        <v>10</v>
      </c>
      <c r="T25" s="837">
        <f t="shared" si="7"/>
        <v>3500</v>
      </c>
      <c r="U25" s="836">
        <f t="shared" si="4"/>
        <v>3.5</v>
      </c>
      <c r="V25" s="3348"/>
      <c r="X25" s="6" t="s">
        <v>1062</v>
      </c>
      <c r="Y25" s="839">
        <v>1</v>
      </c>
      <c r="Z25" s="835" t="s">
        <v>1063</v>
      </c>
      <c r="AA25" s="831"/>
      <c r="AB25" s="6" t="s">
        <v>1064</v>
      </c>
      <c r="AC25" s="839">
        <v>1</v>
      </c>
      <c r="AD25" s="835" t="s">
        <v>1051</v>
      </c>
      <c r="AE25" s="831"/>
      <c r="AF25" s="869"/>
      <c r="AG25" s="865"/>
      <c r="AH25" s="865"/>
      <c r="AI25" s="865"/>
      <c r="AJ25" s="865"/>
      <c r="AK25" s="865"/>
      <c r="AL25" s="865"/>
      <c r="AM25" s="865"/>
      <c r="AN25" s="866"/>
      <c r="AO25" s="866"/>
      <c r="AP25" s="866"/>
      <c r="AQ25" s="866"/>
      <c r="AR25" s="866"/>
      <c r="AS25" s="866"/>
      <c r="AT25" s="77"/>
      <c r="AV25" s="884"/>
      <c r="AW25" s="876"/>
      <c r="AX25" s="876"/>
      <c r="AY25" s="876"/>
      <c r="AZ25" s="876"/>
      <c r="BA25" s="885"/>
      <c r="BB25" s="876"/>
      <c r="BC25" s="876"/>
      <c r="BD25" s="876"/>
      <c r="BE25" s="876"/>
      <c r="BF25" s="876"/>
      <c r="BG25" s="77"/>
      <c r="BH25" s="77"/>
      <c r="BI25" s="77"/>
      <c r="BJ25" s="77"/>
    </row>
    <row r="26" spans="1:62" ht="18.75">
      <c r="A26" s="3348"/>
      <c r="B26" s="840">
        <v>19</v>
      </c>
      <c r="C26" s="6" t="s">
        <v>881</v>
      </c>
      <c r="D26" s="835">
        <v>8000</v>
      </c>
      <c r="E26" s="839">
        <v>10</v>
      </c>
      <c r="F26" s="837">
        <f t="shared" si="0"/>
        <v>80000</v>
      </c>
      <c r="G26" s="838">
        <f t="shared" si="6"/>
        <v>80</v>
      </c>
      <c r="H26" s="3348"/>
      <c r="I26" s="840">
        <v>73</v>
      </c>
      <c r="J26" s="6" t="s">
        <v>882</v>
      </c>
      <c r="K26" s="835">
        <v>2</v>
      </c>
      <c r="L26" s="839">
        <v>10</v>
      </c>
      <c r="M26" s="837">
        <f t="shared" si="5"/>
        <v>20</v>
      </c>
      <c r="N26" s="836">
        <f t="shared" si="2"/>
        <v>0.02</v>
      </c>
      <c r="O26" s="3348"/>
      <c r="P26" s="840">
        <v>131</v>
      </c>
      <c r="Q26" s="6" t="s">
        <v>883</v>
      </c>
      <c r="R26" s="835">
        <v>500</v>
      </c>
      <c r="S26" s="839">
        <v>10</v>
      </c>
      <c r="T26" s="837">
        <f t="shared" si="7"/>
        <v>5000</v>
      </c>
      <c r="U26" s="836">
        <f t="shared" si="4"/>
        <v>5</v>
      </c>
      <c r="V26" s="3348"/>
      <c r="X26" s="6"/>
      <c r="Y26" s="839"/>
      <c r="Z26" s="835"/>
      <c r="AA26" s="831"/>
      <c r="AB26" s="6" t="s">
        <v>1065</v>
      </c>
      <c r="AC26" s="839" t="s">
        <v>1011</v>
      </c>
      <c r="AD26" s="835" t="s">
        <v>1066</v>
      </c>
      <c r="AE26" s="831"/>
      <c r="AF26" s="869"/>
      <c r="AG26" s="865"/>
      <c r="AH26" s="865"/>
      <c r="AI26" s="865"/>
      <c r="AJ26" s="865"/>
      <c r="AK26" s="865"/>
      <c r="AL26" s="865"/>
      <c r="AM26" s="865"/>
      <c r="AN26" s="866"/>
      <c r="AO26" s="866"/>
      <c r="AP26" s="866"/>
      <c r="AQ26" s="866"/>
      <c r="AR26" s="866"/>
      <c r="AS26" s="866"/>
      <c r="AT26" s="77"/>
      <c r="AV26" s="879" t="s">
        <v>1391</v>
      </c>
      <c r="AW26" s="876"/>
      <c r="AX26" s="876"/>
      <c r="AY26" s="876"/>
      <c r="AZ26" s="876"/>
      <c r="BA26" s="885"/>
      <c r="BB26" s="876"/>
      <c r="BC26" s="876"/>
      <c r="BD26" s="876"/>
      <c r="BE26" s="876"/>
      <c r="BF26" s="876"/>
      <c r="BG26" s="77"/>
      <c r="BH26" s="77"/>
      <c r="BI26" s="77"/>
      <c r="BJ26" s="77"/>
    </row>
    <row r="27" spans="1:62" ht="20.25">
      <c r="A27" s="3348"/>
      <c r="B27" s="840">
        <v>20</v>
      </c>
      <c r="C27" s="6" t="s">
        <v>884</v>
      </c>
      <c r="D27" s="835">
        <v>4200</v>
      </c>
      <c r="E27" s="839">
        <v>10</v>
      </c>
      <c r="F27" s="837">
        <f t="shared" si="0"/>
        <v>42000</v>
      </c>
      <c r="G27" s="838">
        <f t="shared" si="6"/>
        <v>42</v>
      </c>
      <c r="H27" s="3348"/>
      <c r="I27" s="840"/>
      <c r="J27" s="827" t="s">
        <v>885</v>
      </c>
      <c r="K27" s="835">
        <v>0</v>
      </c>
      <c r="L27" s="839"/>
      <c r="M27" s="837">
        <f t="shared" si="5"/>
        <v>0</v>
      </c>
      <c r="N27" s="836">
        <f t="shared" si="2"/>
        <v>0</v>
      </c>
      <c r="O27" s="3348"/>
      <c r="P27" s="840">
        <v>132</v>
      </c>
      <c r="Q27" s="6" t="s">
        <v>886</v>
      </c>
      <c r="R27" s="835">
        <v>600</v>
      </c>
      <c r="S27" s="839">
        <v>10</v>
      </c>
      <c r="T27" s="837">
        <f t="shared" si="7"/>
        <v>6000</v>
      </c>
      <c r="U27" s="836">
        <f t="shared" si="4"/>
        <v>6</v>
      </c>
      <c r="V27" s="3348"/>
      <c r="X27" s="6" t="s">
        <v>1067</v>
      </c>
      <c r="Y27" s="839" t="s">
        <v>1068</v>
      </c>
      <c r="Z27" s="835" t="s">
        <v>1069</v>
      </c>
      <c r="AA27" s="831"/>
      <c r="AB27" s="6" t="s">
        <v>1070</v>
      </c>
      <c r="AC27" s="839" t="s">
        <v>1008</v>
      </c>
      <c r="AD27" s="835" t="s">
        <v>1046</v>
      </c>
      <c r="AE27" s="831"/>
      <c r="AF27" s="864" t="s">
        <v>1316</v>
      </c>
      <c r="AG27" s="865"/>
      <c r="AH27" s="865"/>
      <c r="AI27" s="865"/>
      <c r="AJ27" s="865"/>
      <c r="AK27" s="865"/>
      <c r="AL27" s="865"/>
      <c r="AM27" s="865"/>
      <c r="AN27" s="866"/>
      <c r="AO27" s="866"/>
      <c r="AP27" s="866"/>
      <c r="AQ27" s="866"/>
      <c r="AR27" s="866"/>
      <c r="AS27" s="866"/>
      <c r="AT27" s="77"/>
      <c r="AV27" s="876"/>
      <c r="AW27" s="876"/>
      <c r="AX27" s="876"/>
      <c r="AY27" s="876"/>
      <c r="AZ27" s="876"/>
      <c r="BA27" s="876"/>
      <c r="BB27" s="876"/>
      <c r="BC27" s="876"/>
      <c r="BD27" s="876"/>
      <c r="BE27" s="876"/>
      <c r="BF27" s="876"/>
      <c r="BG27" s="77"/>
      <c r="BH27" s="77"/>
      <c r="BI27" s="77"/>
      <c r="BJ27" s="77"/>
    </row>
    <row r="28" spans="1:62" ht="18.75">
      <c r="A28" s="3348"/>
      <c r="B28" s="840">
        <v>21</v>
      </c>
      <c r="C28" s="6" t="s">
        <v>887</v>
      </c>
      <c r="D28" s="835">
        <v>8500</v>
      </c>
      <c r="E28" s="839">
        <v>10</v>
      </c>
      <c r="F28" s="837">
        <f t="shared" si="0"/>
        <v>85000</v>
      </c>
      <c r="G28" s="838">
        <f t="shared" si="6"/>
        <v>85</v>
      </c>
      <c r="H28" s="3348"/>
      <c r="I28" s="840">
        <v>74</v>
      </c>
      <c r="J28" s="6" t="s">
        <v>888</v>
      </c>
      <c r="K28" s="835">
        <v>8</v>
      </c>
      <c r="L28" s="839">
        <v>10</v>
      </c>
      <c r="M28" s="837">
        <f t="shared" si="5"/>
        <v>80</v>
      </c>
      <c r="N28" s="836">
        <f t="shared" si="2"/>
        <v>0.08</v>
      </c>
      <c r="O28" s="3348"/>
      <c r="P28" s="840">
        <v>133</v>
      </c>
      <c r="Q28" s="6" t="s">
        <v>886</v>
      </c>
      <c r="R28" s="835">
        <v>800</v>
      </c>
      <c r="S28" s="839">
        <v>10</v>
      </c>
      <c r="T28" s="837">
        <f t="shared" si="7"/>
        <v>8000</v>
      </c>
      <c r="U28" s="836">
        <f t="shared" si="4"/>
        <v>8</v>
      </c>
      <c r="V28" s="3348"/>
      <c r="X28" s="6" t="s">
        <v>1071</v>
      </c>
      <c r="Y28" s="839" t="s">
        <v>1072</v>
      </c>
      <c r="Z28" s="835" t="s">
        <v>1073</v>
      </c>
      <c r="AA28" s="831"/>
      <c r="AB28" s="6" t="s">
        <v>1074</v>
      </c>
      <c r="AC28" s="839">
        <v>1</v>
      </c>
      <c r="AD28" s="835" t="s">
        <v>1009</v>
      </c>
      <c r="AE28" s="831"/>
      <c r="AF28" s="864"/>
      <c r="AG28" s="865"/>
      <c r="AH28" s="865"/>
      <c r="AI28" s="865"/>
      <c r="AJ28" s="865"/>
      <c r="AK28" s="865"/>
      <c r="AL28" s="865"/>
      <c r="AM28" s="865"/>
      <c r="AN28" s="866"/>
      <c r="AO28" s="866"/>
      <c r="AP28" s="866"/>
      <c r="AQ28" s="866"/>
      <c r="AR28" s="866"/>
      <c r="AS28" s="866"/>
      <c r="AT28" s="77"/>
      <c r="AU28" s="849"/>
      <c r="AV28" s="905" t="s">
        <v>1443</v>
      </c>
      <c r="AW28" s="876"/>
      <c r="AX28" s="876"/>
      <c r="AY28" s="876"/>
      <c r="AZ28" s="876"/>
      <c r="BA28" s="876"/>
      <c r="BB28" s="876"/>
      <c r="BC28" s="876"/>
      <c r="BD28" s="876"/>
      <c r="BE28" s="876"/>
      <c r="BF28" s="876"/>
      <c r="BG28" s="77"/>
      <c r="BH28" s="77"/>
      <c r="BI28" s="77"/>
      <c r="BJ28" s="77"/>
    </row>
    <row r="29" spans="1:62" ht="18.75">
      <c r="A29" s="3348"/>
      <c r="B29" s="840">
        <v>22</v>
      </c>
      <c r="C29" s="6" t="s">
        <v>889</v>
      </c>
      <c r="D29" s="835">
        <v>4000</v>
      </c>
      <c r="E29" s="839">
        <v>10</v>
      </c>
      <c r="F29" s="837">
        <f t="shared" si="0"/>
        <v>40000</v>
      </c>
      <c r="G29" s="838">
        <f t="shared" si="6"/>
        <v>40</v>
      </c>
      <c r="H29" s="3348"/>
      <c r="I29" s="840">
        <v>75</v>
      </c>
      <c r="J29" s="6" t="s">
        <v>890</v>
      </c>
      <c r="K29" s="835">
        <v>50</v>
      </c>
      <c r="L29" s="839">
        <v>10</v>
      </c>
      <c r="M29" s="837">
        <f t="shared" si="5"/>
        <v>500</v>
      </c>
      <c r="N29" s="836">
        <f t="shared" si="2"/>
        <v>0.5</v>
      </c>
      <c r="O29" s="3348"/>
      <c r="P29" s="840">
        <v>134</v>
      </c>
      <c r="Q29" s="6" t="s">
        <v>891</v>
      </c>
      <c r="R29" s="835">
        <v>5</v>
      </c>
      <c r="S29" s="839">
        <v>10</v>
      </c>
      <c r="T29" s="837">
        <f t="shared" si="7"/>
        <v>50</v>
      </c>
      <c r="U29" s="836">
        <f t="shared" si="4"/>
        <v>0.05</v>
      </c>
      <c r="V29" s="3348"/>
      <c r="X29" s="6" t="s">
        <v>1075</v>
      </c>
      <c r="Y29" s="839" t="s">
        <v>1076</v>
      </c>
      <c r="Z29" s="835" t="s">
        <v>1077</v>
      </c>
      <c r="AA29" s="831"/>
      <c r="AB29" s="6" t="s">
        <v>924</v>
      </c>
      <c r="AC29" s="839" t="s">
        <v>1008</v>
      </c>
      <c r="AD29" s="835" t="s">
        <v>1078</v>
      </c>
      <c r="AE29" s="831"/>
      <c r="AF29" s="864" t="s">
        <v>1420</v>
      </c>
      <c r="AG29" s="865"/>
      <c r="AH29" s="865"/>
      <c r="AI29" s="865"/>
      <c r="AJ29" s="865"/>
      <c r="AK29" s="865"/>
      <c r="AL29" s="865"/>
      <c r="AM29" s="865"/>
      <c r="AN29" s="866"/>
      <c r="AO29" s="866"/>
      <c r="AP29" s="866"/>
      <c r="AQ29" s="866"/>
      <c r="AR29" s="866"/>
      <c r="AS29" s="866"/>
      <c r="AT29" s="77"/>
      <c r="AV29" s="876"/>
      <c r="AW29" s="876"/>
      <c r="AX29" s="876"/>
      <c r="AY29" s="876"/>
      <c r="AZ29" s="876"/>
      <c r="BA29" s="876"/>
      <c r="BB29" s="876"/>
      <c r="BC29" s="876"/>
      <c r="BD29" s="876"/>
      <c r="BE29" s="876"/>
      <c r="BF29" s="876"/>
      <c r="BG29" s="77"/>
      <c r="BH29" s="77"/>
      <c r="BI29" s="77"/>
      <c r="BJ29" s="77"/>
    </row>
    <row r="30" spans="1:62" ht="20.25">
      <c r="A30" s="3348"/>
      <c r="B30" s="840">
        <v>23</v>
      </c>
      <c r="C30" s="6" t="s">
        <v>892</v>
      </c>
      <c r="D30" s="835">
        <v>1000</v>
      </c>
      <c r="E30" s="839">
        <v>10</v>
      </c>
      <c r="F30" s="837">
        <f t="shared" si="0"/>
        <v>10000</v>
      </c>
      <c r="G30" s="838">
        <f t="shared" si="6"/>
        <v>10</v>
      </c>
      <c r="H30" s="3348"/>
      <c r="I30" s="840"/>
      <c r="J30" s="819" t="s">
        <v>893</v>
      </c>
      <c r="K30" s="835">
        <v>0</v>
      </c>
      <c r="L30" s="839"/>
      <c r="M30" s="837">
        <f t="shared" si="5"/>
        <v>0</v>
      </c>
      <c r="N30" s="836">
        <f t="shared" si="2"/>
        <v>0</v>
      </c>
      <c r="O30" s="3348"/>
      <c r="P30" s="840">
        <v>135</v>
      </c>
      <c r="Q30" s="6" t="s">
        <v>894</v>
      </c>
      <c r="R30" s="835">
        <v>5</v>
      </c>
      <c r="S30" s="839">
        <v>10</v>
      </c>
      <c r="T30" s="837">
        <f t="shared" si="7"/>
        <v>50</v>
      </c>
      <c r="U30" s="836">
        <f t="shared" si="4"/>
        <v>0.05</v>
      </c>
      <c r="V30" s="3348"/>
      <c r="X30" s="6" t="s">
        <v>1079</v>
      </c>
      <c r="Y30" s="839" t="s">
        <v>1024</v>
      </c>
      <c r="Z30" s="835" t="s">
        <v>1080</v>
      </c>
      <c r="AA30" s="831"/>
      <c r="AB30" s="6"/>
      <c r="AC30" s="839"/>
      <c r="AD30" s="835"/>
      <c r="AE30" s="831"/>
      <c r="AF30" s="864"/>
      <c r="AG30" s="865"/>
      <c r="AH30" s="865"/>
      <c r="AI30" s="865"/>
      <c r="AJ30" s="865"/>
      <c r="AK30" s="865"/>
      <c r="AL30" s="865"/>
      <c r="AM30" s="865"/>
      <c r="AN30" s="866"/>
      <c r="AO30" s="866"/>
      <c r="AP30" s="866"/>
      <c r="AQ30" s="866"/>
      <c r="AR30" s="866"/>
      <c r="AS30" s="866"/>
      <c r="AT30" s="77"/>
      <c r="AV30" s="876"/>
      <c r="AW30" s="876"/>
      <c r="AX30" s="876"/>
      <c r="AY30" s="876"/>
      <c r="AZ30" s="876"/>
      <c r="BA30" s="876"/>
      <c r="BB30" s="876"/>
      <c r="BC30" s="876"/>
      <c r="BD30" s="876"/>
      <c r="BE30" s="876"/>
      <c r="BF30" s="876"/>
      <c r="BG30" s="77"/>
      <c r="BH30" s="77"/>
      <c r="BI30" s="77"/>
      <c r="BJ30" s="77"/>
    </row>
    <row r="31" spans="1:62" ht="18.75">
      <c r="A31" s="3348"/>
      <c r="B31" s="840">
        <v>24</v>
      </c>
      <c r="C31" s="6" t="s">
        <v>895</v>
      </c>
      <c r="D31" s="835">
        <v>8500</v>
      </c>
      <c r="E31" s="839">
        <v>10</v>
      </c>
      <c r="F31" s="837">
        <f t="shared" si="0"/>
        <v>85000</v>
      </c>
      <c r="G31" s="838">
        <f t="shared" si="6"/>
        <v>85</v>
      </c>
      <c r="H31" s="3348"/>
      <c r="I31" s="840">
        <v>76</v>
      </c>
      <c r="J31" s="6" t="s">
        <v>896</v>
      </c>
      <c r="K31" s="835">
        <v>30</v>
      </c>
      <c r="L31" s="839">
        <v>10</v>
      </c>
      <c r="M31" s="837">
        <f t="shared" si="5"/>
        <v>300</v>
      </c>
      <c r="N31" s="836">
        <f t="shared" si="2"/>
        <v>0.3</v>
      </c>
      <c r="O31" s="3348"/>
      <c r="P31" s="840">
        <v>136</v>
      </c>
      <c r="Q31" s="6" t="s">
        <v>897</v>
      </c>
      <c r="R31" s="835">
        <v>15</v>
      </c>
      <c r="S31" s="839">
        <v>10</v>
      </c>
      <c r="T31" s="837">
        <f t="shared" si="7"/>
        <v>150</v>
      </c>
      <c r="U31" s="836">
        <f t="shared" si="4"/>
        <v>0.15</v>
      </c>
      <c r="V31" s="3348"/>
      <c r="X31" s="6" t="s">
        <v>1081</v>
      </c>
      <c r="Y31" s="839" t="s">
        <v>1024</v>
      </c>
      <c r="Z31" s="835" t="s">
        <v>1082</v>
      </c>
      <c r="AA31" s="831"/>
      <c r="AB31" s="6" t="s">
        <v>1083</v>
      </c>
      <c r="AC31" s="839" t="s">
        <v>1084</v>
      </c>
      <c r="AD31" s="835" t="s">
        <v>1035</v>
      </c>
      <c r="AE31" s="831"/>
      <c r="AF31" s="864" t="s">
        <v>1421</v>
      </c>
      <c r="AG31" s="865"/>
      <c r="AH31" s="865"/>
      <c r="AI31" s="865"/>
      <c r="AJ31" s="865"/>
      <c r="AK31" s="865"/>
      <c r="AL31" s="865"/>
      <c r="AM31" s="865"/>
      <c r="AN31" s="866"/>
      <c r="AO31" s="866"/>
      <c r="AP31" s="866"/>
      <c r="AQ31" s="866"/>
      <c r="AR31" s="866"/>
      <c r="AS31" s="866"/>
      <c r="AT31" s="77"/>
      <c r="AV31" s="876"/>
      <c r="AW31" s="876"/>
      <c r="AX31" s="876"/>
      <c r="AY31" s="876"/>
      <c r="AZ31" s="876"/>
      <c r="BA31" s="876"/>
      <c r="BB31" s="876"/>
      <c r="BC31" s="876"/>
      <c r="BD31" s="876"/>
      <c r="BE31" s="876"/>
      <c r="BF31" s="876"/>
      <c r="BG31" s="77"/>
      <c r="BH31" s="77"/>
      <c r="BI31" s="77"/>
      <c r="BJ31" s="77"/>
    </row>
    <row r="32" spans="1:62" ht="18.75">
      <c r="A32" s="3348"/>
      <c r="B32" s="840">
        <v>25</v>
      </c>
      <c r="C32" s="6" t="s">
        <v>898</v>
      </c>
      <c r="D32" s="835">
        <v>1250</v>
      </c>
      <c r="E32" s="839">
        <v>10</v>
      </c>
      <c r="F32" s="837">
        <f t="shared" si="0"/>
        <v>12500</v>
      </c>
      <c r="G32" s="838">
        <f t="shared" si="6"/>
        <v>12.5</v>
      </c>
      <c r="H32" s="3348"/>
      <c r="I32" s="840">
        <v>77</v>
      </c>
      <c r="J32" s="6" t="s">
        <v>899</v>
      </c>
      <c r="K32" s="835">
        <v>60</v>
      </c>
      <c r="L32" s="839">
        <v>10</v>
      </c>
      <c r="M32" s="837">
        <f t="shared" si="5"/>
        <v>600</v>
      </c>
      <c r="N32" s="836">
        <f t="shared" si="2"/>
        <v>0.6</v>
      </c>
      <c r="O32" s="3348"/>
      <c r="P32" s="840">
        <v>137</v>
      </c>
      <c r="Q32" s="6" t="s">
        <v>900</v>
      </c>
      <c r="R32" s="835">
        <v>200</v>
      </c>
      <c r="S32" s="839">
        <v>10</v>
      </c>
      <c r="T32" s="837">
        <f t="shared" si="7"/>
        <v>2000</v>
      </c>
      <c r="U32" s="836">
        <f t="shared" si="4"/>
        <v>2</v>
      </c>
      <c r="V32" s="3348"/>
      <c r="X32" s="6" t="s">
        <v>1085</v>
      </c>
      <c r="Y32" s="839" t="s">
        <v>1086</v>
      </c>
      <c r="Z32" s="835" t="s">
        <v>1087</v>
      </c>
      <c r="AA32" s="831"/>
      <c r="AB32" s="6" t="s">
        <v>1083</v>
      </c>
      <c r="AC32" s="839" t="s">
        <v>1088</v>
      </c>
      <c r="AD32" s="835" t="s">
        <v>1089</v>
      </c>
      <c r="AE32" s="831"/>
      <c r="AF32" s="864"/>
      <c r="AG32" s="865"/>
      <c r="AH32" s="865"/>
      <c r="AI32" s="865"/>
      <c r="AJ32" s="865"/>
      <c r="AK32" s="865"/>
      <c r="AL32" s="865"/>
      <c r="AM32" s="865"/>
      <c r="AN32" s="866"/>
      <c r="AO32" s="866"/>
      <c r="AP32" s="866"/>
      <c r="AQ32" s="866"/>
      <c r="AR32" s="866"/>
      <c r="AS32" s="866"/>
      <c r="AT32" s="77"/>
      <c r="AV32" s="876"/>
      <c r="AW32" s="876"/>
      <c r="AX32" s="876"/>
      <c r="AY32" s="876"/>
      <c r="AZ32" s="876"/>
      <c r="BA32" s="876"/>
      <c r="BB32" s="876"/>
      <c r="BC32" s="876"/>
      <c r="BD32" s="876"/>
      <c r="BE32" s="876"/>
      <c r="BF32" s="876"/>
      <c r="BG32" s="77"/>
      <c r="BH32" s="77"/>
      <c r="BI32" s="77"/>
      <c r="BJ32" s="77"/>
    </row>
    <row r="33" spans="1:62" ht="20.25">
      <c r="A33" s="3348"/>
      <c r="B33" s="840"/>
      <c r="C33" s="819" t="s">
        <v>352</v>
      </c>
      <c r="D33" s="835"/>
      <c r="E33" s="839"/>
      <c r="F33" s="837">
        <f t="shared" si="0"/>
        <v>0</v>
      </c>
      <c r="G33" s="838">
        <f t="shared" si="6"/>
        <v>0</v>
      </c>
      <c r="H33" s="3348"/>
      <c r="I33" s="840">
        <v>78</v>
      </c>
      <c r="J33" s="6" t="s">
        <v>901</v>
      </c>
      <c r="K33" s="835">
        <v>50</v>
      </c>
      <c r="L33" s="839">
        <v>10</v>
      </c>
      <c r="M33" s="837">
        <f t="shared" si="5"/>
        <v>500</v>
      </c>
      <c r="N33" s="836">
        <f t="shared" si="2"/>
        <v>0.5</v>
      </c>
      <c r="O33" s="3348"/>
      <c r="P33" s="840">
        <v>138</v>
      </c>
      <c r="Q33" s="6" t="s">
        <v>902</v>
      </c>
      <c r="R33" s="835">
        <v>150</v>
      </c>
      <c r="S33" s="839">
        <v>10</v>
      </c>
      <c r="T33" s="837">
        <f t="shared" si="7"/>
        <v>1500</v>
      </c>
      <c r="U33" s="836">
        <f t="shared" si="4"/>
        <v>1.5</v>
      </c>
      <c r="V33" s="3348"/>
      <c r="X33" s="6" t="s">
        <v>1090</v>
      </c>
      <c r="Y33" s="839" t="s">
        <v>1045</v>
      </c>
      <c r="Z33" s="835" t="s">
        <v>1091</v>
      </c>
      <c r="AA33" s="831"/>
      <c r="AB33" s="6" t="s">
        <v>1092</v>
      </c>
      <c r="AC33" s="839" t="s">
        <v>1084</v>
      </c>
      <c r="AD33" s="835" t="s">
        <v>1082</v>
      </c>
      <c r="AE33" s="831"/>
      <c r="AF33" s="864" t="s">
        <v>1422</v>
      </c>
      <c r="AG33" s="865"/>
      <c r="AH33" s="865"/>
      <c r="AI33" s="865"/>
      <c r="AJ33" s="865"/>
      <c r="AK33" s="865"/>
      <c r="AL33" s="865"/>
      <c r="AM33" s="865"/>
      <c r="AN33" s="866"/>
      <c r="AO33" s="866"/>
      <c r="AP33" s="866"/>
      <c r="AQ33" s="866"/>
      <c r="AR33" s="866"/>
      <c r="AS33" s="866"/>
      <c r="AT33" s="77"/>
      <c r="AV33" s="876"/>
      <c r="AW33" s="876"/>
      <c r="AX33" s="876"/>
      <c r="AY33" s="876"/>
      <c r="AZ33" s="876"/>
      <c r="BA33" s="876"/>
      <c r="BB33" s="876"/>
      <c r="BC33" s="876"/>
      <c r="BD33" s="876"/>
      <c r="BE33" s="876"/>
      <c r="BF33" s="876"/>
      <c r="BG33" s="77"/>
      <c r="BH33" s="77"/>
      <c r="BI33" s="77"/>
      <c r="BJ33" s="77"/>
    </row>
    <row r="34" spans="1:62" ht="20.25">
      <c r="A34" s="3348"/>
      <c r="B34" s="840">
        <v>26</v>
      </c>
      <c r="C34" s="6" t="s">
        <v>903</v>
      </c>
      <c r="D34" s="835">
        <v>8</v>
      </c>
      <c r="E34" s="839">
        <v>10</v>
      </c>
      <c r="F34" s="837">
        <f t="shared" si="0"/>
        <v>80</v>
      </c>
      <c r="G34" s="836">
        <f t="shared" si="6"/>
        <v>0.08</v>
      </c>
      <c r="H34" s="3348"/>
      <c r="I34" s="840">
        <v>79</v>
      </c>
      <c r="J34" s="6" t="s">
        <v>904</v>
      </c>
      <c r="K34" s="835">
        <v>40</v>
      </c>
      <c r="L34" s="839">
        <v>10</v>
      </c>
      <c r="M34" s="837">
        <f t="shared" si="5"/>
        <v>400</v>
      </c>
      <c r="N34" s="836">
        <f t="shared" si="2"/>
        <v>0.4</v>
      </c>
      <c r="O34" s="3348"/>
      <c r="P34" s="840"/>
      <c r="Q34" s="819" t="s">
        <v>905</v>
      </c>
      <c r="R34" s="835">
        <v>0</v>
      </c>
      <c r="S34" s="839"/>
      <c r="T34" s="837">
        <f t="shared" si="7"/>
        <v>0</v>
      </c>
      <c r="U34" s="836">
        <f t="shared" si="4"/>
        <v>0</v>
      </c>
      <c r="V34" s="3348"/>
      <c r="X34" s="6" t="s">
        <v>1093</v>
      </c>
      <c r="Y34" s="839" t="s">
        <v>1008</v>
      </c>
      <c r="Z34" s="835" t="s">
        <v>1031</v>
      </c>
      <c r="AA34" s="831"/>
      <c r="AB34" s="6" t="s">
        <v>1092</v>
      </c>
      <c r="AC34" s="839" t="s">
        <v>1088</v>
      </c>
      <c r="AD34" s="835" t="s">
        <v>1094</v>
      </c>
      <c r="AE34" s="831"/>
      <c r="AF34" s="864"/>
      <c r="AG34" s="865"/>
      <c r="AH34" s="865"/>
      <c r="AI34" s="865"/>
      <c r="AJ34" s="865"/>
      <c r="AK34" s="865"/>
      <c r="AL34" s="865"/>
      <c r="AM34" s="865"/>
      <c r="AN34" s="866"/>
      <c r="AO34" s="866"/>
      <c r="AP34" s="866"/>
      <c r="AQ34" s="866"/>
      <c r="AR34" s="866"/>
      <c r="AS34" s="866"/>
      <c r="AT34" s="77"/>
      <c r="AV34" s="876"/>
      <c r="AW34" s="876"/>
      <c r="AX34" s="876"/>
      <c r="AY34" s="876"/>
      <c r="AZ34" s="876"/>
      <c r="BA34" s="876"/>
      <c r="BB34" s="876"/>
      <c r="BC34" s="876"/>
      <c r="BD34" s="876"/>
      <c r="BE34" s="876"/>
      <c r="BF34" s="876"/>
      <c r="BG34" s="77"/>
      <c r="BH34" s="77"/>
      <c r="BI34" s="77"/>
      <c r="BJ34" s="77"/>
    </row>
    <row r="35" spans="1:62" ht="18.75">
      <c r="A35" s="3348"/>
      <c r="B35" s="840">
        <v>27</v>
      </c>
      <c r="C35" s="6" t="s">
        <v>906</v>
      </c>
      <c r="D35" s="835">
        <v>120</v>
      </c>
      <c r="E35" s="839">
        <v>10</v>
      </c>
      <c r="F35" s="837">
        <f t="shared" si="0"/>
        <v>1200</v>
      </c>
      <c r="G35" s="836">
        <f t="shared" si="6"/>
        <v>1.2</v>
      </c>
      <c r="H35" s="3348"/>
      <c r="I35" s="840">
        <v>80</v>
      </c>
      <c r="J35" s="6" t="s">
        <v>907</v>
      </c>
      <c r="K35" s="835">
        <v>50</v>
      </c>
      <c r="L35" s="839">
        <v>12</v>
      </c>
      <c r="M35" s="837">
        <f t="shared" si="5"/>
        <v>600</v>
      </c>
      <c r="N35" s="836">
        <f t="shared" si="2"/>
        <v>0.6</v>
      </c>
      <c r="O35" s="3348"/>
      <c r="P35" s="840">
        <v>139</v>
      </c>
      <c r="Q35" s="6" t="s">
        <v>908</v>
      </c>
      <c r="R35" s="835">
        <v>100</v>
      </c>
      <c r="S35" s="839">
        <v>10</v>
      </c>
      <c r="T35" s="837">
        <f t="shared" si="7"/>
        <v>1000</v>
      </c>
      <c r="U35" s="836">
        <f t="shared" si="4"/>
        <v>1</v>
      </c>
      <c r="V35" s="3348"/>
      <c r="X35" s="6" t="s">
        <v>1095</v>
      </c>
      <c r="Y35" s="839" t="s">
        <v>1086</v>
      </c>
      <c r="Z35" s="835" t="s">
        <v>1096</v>
      </c>
      <c r="AA35" s="831"/>
      <c r="AB35" s="6" t="s">
        <v>1097</v>
      </c>
      <c r="AC35" s="839">
        <v>1</v>
      </c>
      <c r="AD35" s="835" t="s">
        <v>1098</v>
      </c>
      <c r="AE35" s="831"/>
      <c r="AF35" s="864" t="s">
        <v>1423</v>
      </c>
      <c r="AG35" s="865"/>
      <c r="AH35" s="865"/>
      <c r="AI35" s="865"/>
      <c r="AJ35" s="865"/>
      <c r="AK35" s="865"/>
      <c r="AL35" s="865"/>
      <c r="AM35" s="865"/>
      <c r="AN35" s="866"/>
      <c r="AO35" s="866"/>
      <c r="AP35" s="866"/>
      <c r="AQ35" s="866"/>
      <c r="AR35" s="866"/>
      <c r="AS35" s="866"/>
      <c r="AT35" s="77"/>
    </row>
    <row r="36" spans="1:62" ht="18.75">
      <c r="A36" s="3348"/>
      <c r="B36" s="840">
        <v>28</v>
      </c>
      <c r="C36" s="6" t="s">
        <v>909</v>
      </c>
      <c r="D36" s="835">
        <v>1500</v>
      </c>
      <c r="E36" s="839">
        <v>10</v>
      </c>
      <c r="F36" s="837">
        <f t="shared" si="0"/>
        <v>15000</v>
      </c>
      <c r="G36" s="838">
        <f t="shared" si="6"/>
        <v>15</v>
      </c>
      <c r="H36" s="3348"/>
      <c r="I36" s="840">
        <v>81</v>
      </c>
      <c r="J36" s="6" t="s">
        <v>910</v>
      </c>
      <c r="K36" s="835">
        <v>30</v>
      </c>
      <c r="L36" s="839">
        <v>10</v>
      </c>
      <c r="M36" s="837">
        <f t="shared" si="5"/>
        <v>300</v>
      </c>
      <c r="N36" s="836">
        <f t="shared" si="2"/>
        <v>0.3</v>
      </c>
      <c r="O36" s="3348"/>
      <c r="P36" s="840">
        <v>140</v>
      </c>
      <c r="Q36" s="6" t="s">
        <v>911</v>
      </c>
      <c r="R36" s="835">
        <v>80</v>
      </c>
      <c r="S36" s="839">
        <v>10</v>
      </c>
      <c r="T36" s="837">
        <f t="shared" si="7"/>
        <v>800</v>
      </c>
      <c r="U36" s="836">
        <f t="shared" si="4"/>
        <v>0.8</v>
      </c>
      <c r="V36" s="3348"/>
      <c r="X36" s="6" t="s">
        <v>1099</v>
      </c>
      <c r="Y36" s="839" t="s">
        <v>1050</v>
      </c>
      <c r="Z36" s="835" t="s">
        <v>1100</v>
      </c>
      <c r="AA36" s="831"/>
      <c r="AB36" s="6" t="s">
        <v>1101</v>
      </c>
      <c r="AC36" s="839" t="s">
        <v>1102</v>
      </c>
      <c r="AD36" s="835" t="s">
        <v>1103</v>
      </c>
      <c r="AE36" s="831"/>
      <c r="AF36" s="864"/>
      <c r="AG36" s="865"/>
      <c r="AH36" s="865"/>
      <c r="AI36" s="865"/>
      <c r="AJ36" s="865"/>
      <c r="AK36" s="865"/>
      <c r="AL36" s="865"/>
      <c r="AM36" s="865"/>
      <c r="AN36" s="866"/>
      <c r="AO36" s="866"/>
      <c r="AP36" s="866"/>
      <c r="AQ36" s="866"/>
      <c r="AR36" s="866"/>
      <c r="AS36" s="866"/>
      <c r="AT36" s="77"/>
    </row>
    <row r="37" spans="1:62" ht="18.75">
      <c r="A37" s="3348"/>
      <c r="B37" s="840">
        <v>29</v>
      </c>
      <c r="C37" s="6" t="s">
        <v>912</v>
      </c>
      <c r="D37" s="835">
        <v>120</v>
      </c>
      <c r="E37" s="839">
        <v>10</v>
      </c>
      <c r="F37" s="837">
        <f t="shared" si="0"/>
        <v>1200</v>
      </c>
      <c r="G37" s="836">
        <f t="shared" si="6"/>
        <v>1.2</v>
      </c>
      <c r="H37" s="3348"/>
      <c r="I37" s="840">
        <v>82</v>
      </c>
      <c r="J37" s="6" t="s">
        <v>579</v>
      </c>
      <c r="K37" s="835">
        <v>50</v>
      </c>
      <c r="L37" s="839">
        <v>10</v>
      </c>
      <c r="M37" s="837">
        <f t="shared" si="5"/>
        <v>500</v>
      </c>
      <c r="N37" s="836">
        <f t="shared" si="2"/>
        <v>0.5</v>
      </c>
      <c r="O37" s="3348"/>
      <c r="P37" s="840">
        <v>141</v>
      </c>
      <c r="Q37" s="6" t="s">
        <v>913</v>
      </c>
      <c r="R37" s="835">
        <v>260</v>
      </c>
      <c r="S37" s="839">
        <v>10</v>
      </c>
      <c r="T37" s="837">
        <f t="shared" si="7"/>
        <v>2600</v>
      </c>
      <c r="U37" s="836">
        <f t="shared" si="4"/>
        <v>2.6</v>
      </c>
      <c r="V37" s="3348"/>
      <c r="X37" s="6" t="s">
        <v>1104</v>
      </c>
      <c r="Y37" s="839">
        <v>1</v>
      </c>
      <c r="Z37" s="835" t="s">
        <v>1046</v>
      </c>
      <c r="AA37" s="831"/>
      <c r="AB37" s="6" t="s">
        <v>1105</v>
      </c>
      <c r="AC37" s="839" t="s">
        <v>1102</v>
      </c>
      <c r="AD37" s="835" t="s">
        <v>1100</v>
      </c>
      <c r="AE37" s="831"/>
      <c r="AF37" s="864" t="s">
        <v>1424</v>
      </c>
      <c r="AG37" s="865"/>
      <c r="AH37" s="865"/>
      <c r="AI37" s="865"/>
      <c r="AJ37" s="865"/>
      <c r="AK37" s="865"/>
      <c r="AL37" s="865"/>
      <c r="AM37" s="865"/>
      <c r="AN37" s="866"/>
      <c r="AO37" s="866"/>
      <c r="AP37" s="866"/>
      <c r="AQ37" s="866"/>
      <c r="AR37" s="866"/>
      <c r="AS37" s="866"/>
      <c r="AT37" s="77"/>
    </row>
    <row r="38" spans="1:62" ht="18.75">
      <c r="A38" s="3348"/>
      <c r="B38" s="840">
        <v>30</v>
      </c>
      <c r="C38" s="6" t="s">
        <v>914</v>
      </c>
      <c r="D38" s="835">
        <v>35</v>
      </c>
      <c r="E38" s="839">
        <v>10</v>
      </c>
      <c r="F38" s="837">
        <f t="shared" si="0"/>
        <v>350</v>
      </c>
      <c r="G38" s="836">
        <f t="shared" si="6"/>
        <v>0.35</v>
      </c>
      <c r="H38" s="3348"/>
      <c r="I38" s="840">
        <v>83</v>
      </c>
      <c r="J38" s="6" t="s">
        <v>915</v>
      </c>
      <c r="K38" s="835">
        <v>20</v>
      </c>
      <c r="L38" s="839">
        <v>10</v>
      </c>
      <c r="M38" s="837">
        <f t="shared" si="5"/>
        <v>200</v>
      </c>
      <c r="N38" s="836">
        <f t="shared" si="2"/>
        <v>0.2</v>
      </c>
      <c r="O38" s="3348"/>
      <c r="P38" s="840">
        <v>142</v>
      </c>
      <c r="Q38" s="6" t="s">
        <v>916</v>
      </c>
      <c r="R38" s="835">
        <v>160</v>
      </c>
      <c r="S38" s="839">
        <v>10</v>
      </c>
      <c r="T38" s="837">
        <f t="shared" si="7"/>
        <v>1600</v>
      </c>
      <c r="U38" s="836">
        <f t="shared" si="4"/>
        <v>1.6</v>
      </c>
      <c r="V38" s="3348"/>
      <c r="X38" s="6" t="s">
        <v>1106</v>
      </c>
      <c r="Y38" s="839">
        <v>1</v>
      </c>
      <c r="Z38" s="835" t="s">
        <v>1016</v>
      </c>
      <c r="AA38" s="831"/>
      <c r="AB38" s="6" t="s">
        <v>1107</v>
      </c>
      <c r="AC38" s="839" t="s">
        <v>1024</v>
      </c>
      <c r="AD38" s="835" t="s">
        <v>1080</v>
      </c>
      <c r="AE38" s="831"/>
      <c r="AF38" s="864"/>
      <c r="AG38" s="865"/>
      <c r="AH38" s="865"/>
      <c r="AI38" s="865"/>
      <c r="AJ38" s="865"/>
      <c r="AK38" s="865"/>
      <c r="AL38" s="865"/>
      <c r="AM38" s="865"/>
      <c r="AN38" s="866"/>
      <c r="AO38" s="866"/>
      <c r="AP38" s="866"/>
      <c r="AQ38" s="866"/>
      <c r="AR38" s="866"/>
      <c r="AS38" s="866"/>
      <c r="AT38" s="77"/>
    </row>
    <row r="39" spans="1:62" ht="21">
      <c r="A39" s="3348"/>
      <c r="B39" s="840">
        <v>31</v>
      </c>
      <c r="C39" s="6" t="s">
        <v>917</v>
      </c>
      <c r="D39" s="835">
        <v>1000</v>
      </c>
      <c r="E39" s="839">
        <v>10</v>
      </c>
      <c r="F39" s="837">
        <f t="shared" ref="F39:F66" si="8">(D39*E39)</f>
        <v>10000</v>
      </c>
      <c r="G39" s="838">
        <f t="shared" si="6"/>
        <v>10</v>
      </c>
      <c r="H39" s="3348"/>
      <c r="I39" s="840">
        <v>84</v>
      </c>
      <c r="J39" s="6" t="s">
        <v>918</v>
      </c>
      <c r="K39" s="835">
        <v>70</v>
      </c>
      <c r="L39" s="839">
        <v>10</v>
      </c>
      <c r="M39" s="837">
        <f t="shared" si="5"/>
        <v>700</v>
      </c>
      <c r="N39" s="836">
        <f t="shared" si="2"/>
        <v>0.7</v>
      </c>
      <c r="O39" s="3348"/>
      <c r="P39" s="840">
        <v>143</v>
      </c>
      <c r="Q39" s="6" t="s">
        <v>919</v>
      </c>
      <c r="R39" s="835">
        <v>430</v>
      </c>
      <c r="S39" s="839">
        <v>10</v>
      </c>
      <c r="T39" s="837">
        <f t="shared" si="7"/>
        <v>4300</v>
      </c>
      <c r="U39" s="836">
        <f t="shared" ref="U39:U58" si="9">T39/1000</f>
        <v>4.3</v>
      </c>
      <c r="V39" s="3348"/>
      <c r="X39" s="6" t="s">
        <v>1108</v>
      </c>
      <c r="Y39" s="839" t="s">
        <v>1021</v>
      </c>
      <c r="Z39" s="835" t="s">
        <v>1080</v>
      </c>
      <c r="AA39" s="831"/>
      <c r="AB39" s="6" t="s">
        <v>1109</v>
      </c>
      <c r="AC39" s="839" t="s">
        <v>1011</v>
      </c>
      <c r="AD39" s="835" t="s">
        <v>1110</v>
      </c>
      <c r="AE39" s="831"/>
      <c r="AF39" s="864" t="s">
        <v>1425</v>
      </c>
      <c r="AG39" s="865"/>
      <c r="AH39" s="865"/>
      <c r="AI39" s="865"/>
      <c r="AJ39" s="865"/>
      <c r="AK39" s="865"/>
      <c r="AL39" s="865"/>
      <c r="AM39" s="865"/>
      <c r="AN39" s="866"/>
      <c r="AO39" s="866"/>
      <c r="AP39" s="866"/>
      <c r="AQ39" s="866"/>
      <c r="AR39" s="866"/>
      <c r="AS39" s="866"/>
      <c r="AT39" s="77"/>
    </row>
    <row r="40" spans="1:62" ht="18.75">
      <c r="A40" s="3348"/>
      <c r="B40" s="840">
        <v>32</v>
      </c>
      <c r="C40" s="6" t="s">
        <v>920</v>
      </c>
      <c r="D40" s="835">
        <v>65</v>
      </c>
      <c r="E40" s="839">
        <v>10</v>
      </c>
      <c r="F40" s="837">
        <f t="shared" si="8"/>
        <v>650</v>
      </c>
      <c r="G40" s="836">
        <f t="shared" si="6"/>
        <v>0.65</v>
      </c>
      <c r="H40" s="3348"/>
      <c r="I40" s="840">
        <v>85</v>
      </c>
      <c r="J40" s="6" t="s">
        <v>921</v>
      </c>
      <c r="K40" s="835">
        <v>4</v>
      </c>
      <c r="L40" s="839">
        <v>10</v>
      </c>
      <c r="M40" s="837">
        <f t="shared" si="5"/>
        <v>40</v>
      </c>
      <c r="N40" s="836">
        <f t="shared" si="2"/>
        <v>0.04</v>
      </c>
      <c r="O40" s="3348"/>
      <c r="P40" s="840">
        <v>144</v>
      </c>
      <c r="Q40" s="6" t="s">
        <v>922</v>
      </c>
      <c r="R40" s="835">
        <v>52</v>
      </c>
      <c r="S40" s="839">
        <v>10</v>
      </c>
      <c r="T40" s="837">
        <f t="shared" si="7"/>
        <v>520</v>
      </c>
      <c r="U40" s="836">
        <f t="shared" si="9"/>
        <v>0.52</v>
      </c>
      <c r="V40" s="3348"/>
      <c r="X40" s="6" t="s">
        <v>1111</v>
      </c>
      <c r="Y40" s="839">
        <v>1</v>
      </c>
      <c r="Z40" s="835" t="s">
        <v>1031</v>
      </c>
      <c r="AA40" s="831"/>
      <c r="AB40" s="6" t="s">
        <v>933</v>
      </c>
      <c r="AC40" s="839" t="s">
        <v>1011</v>
      </c>
      <c r="AD40" s="835" t="s">
        <v>1014</v>
      </c>
      <c r="AE40" s="831"/>
      <c r="AF40" s="864"/>
      <c r="AG40" s="865"/>
      <c r="AH40" s="865"/>
      <c r="AI40" s="865"/>
      <c r="AJ40" s="865"/>
      <c r="AK40" s="865"/>
      <c r="AL40" s="865"/>
      <c r="AM40" s="865"/>
      <c r="AN40" s="866"/>
      <c r="AO40" s="866"/>
      <c r="AP40" s="866"/>
      <c r="AQ40" s="866"/>
      <c r="AR40" s="866"/>
      <c r="AS40" s="866"/>
      <c r="AT40" s="77"/>
    </row>
    <row r="41" spans="1:62" ht="18.75">
      <c r="A41" s="3348"/>
      <c r="B41" s="840">
        <v>33</v>
      </c>
      <c r="C41" s="6" t="s">
        <v>923</v>
      </c>
      <c r="D41" s="835">
        <v>1500</v>
      </c>
      <c r="E41" s="839">
        <v>10</v>
      </c>
      <c r="F41" s="837">
        <f t="shared" si="8"/>
        <v>15000</v>
      </c>
      <c r="G41" s="838">
        <f t="shared" si="6"/>
        <v>15</v>
      </c>
      <c r="H41" s="3348"/>
      <c r="I41" s="840">
        <v>86</v>
      </c>
      <c r="J41" s="6" t="s">
        <v>924</v>
      </c>
      <c r="K41" s="835">
        <v>240</v>
      </c>
      <c r="L41" s="839">
        <v>10</v>
      </c>
      <c r="M41" s="837">
        <f t="shared" si="5"/>
        <v>2400</v>
      </c>
      <c r="N41" s="836">
        <f t="shared" si="2"/>
        <v>2.4</v>
      </c>
      <c r="O41" s="3348"/>
      <c r="P41" s="840">
        <v>145</v>
      </c>
      <c r="Q41" s="6" t="s">
        <v>925</v>
      </c>
      <c r="R41" s="835">
        <v>118</v>
      </c>
      <c r="S41" s="839">
        <v>10</v>
      </c>
      <c r="T41" s="837">
        <f t="shared" si="7"/>
        <v>1180</v>
      </c>
      <c r="U41" s="836">
        <f t="shared" si="9"/>
        <v>1.18</v>
      </c>
      <c r="V41" s="3348"/>
      <c r="X41" s="6" t="s">
        <v>1112</v>
      </c>
      <c r="Y41" s="839" t="s">
        <v>1113</v>
      </c>
      <c r="Z41" s="835" t="s">
        <v>1080</v>
      </c>
      <c r="AA41" s="831"/>
      <c r="AB41" s="6" t="s">
        <v>1114</v>
      </c>
      <c r="AC41" s="839" t="s">
        <v>1008</v>
      </c>
      <c r="AD41" s="862" t="s">
        <v>1087</v>
      </c>
      <c r="AE41" s="831"/>
      <c r="AF41" s="864" t="s">
        <v>1426</v>
      </c>
      <c r="AG41" s="865"/>
      <c r="AH41" s="865"/>
      <c r="AI41" s="865"/>
      <c r="AJ41" s="865"/>
      <c r="AK41" s="865"/>
      <c r="AL41" s="865"/>
      <c r="AM41" s="865"/>
      <c r="AN41" s="866"/>
      <c r="AO41" s="866"/>
      <c r="AP41" s="866"/>
      <c r="AQ41" s="866"/>
      <c r="AR41" s="866"/>
      <c r="AS41" s="866"/>
      <c r="AT41" s="77"/>
    </row>
    <row r="42" spans="1:62" ht="18.75">
      <c r="A42" s="3348"/>
      <c r="B42" s="840">
        <v>34</v>
      </c>
      <c r="C42" s="6" t="s">
        <v>926</v>
      </c>
      <c r="D42" s="835">
        <v>2000</v>
      </c>
      <c r="E42" s="839">
        <v>10</v>
      </c>
      <c r="F42" s="837">
        <f t="shared" si="8"/>
        <v>20000</v>
      </c>
      <c r="G42" s="838">
        <f t="shared" si="6"/>
        <v>20</v>
      </c>
      <c r="H42" s="3348"/>
      <c r="I42" s="840">
        <v>87</v>
      </c>
      <c r="J42" s="6" t="s">
        <v>927</v>
      </c>
      <c r="K42" s="835">
        <v>140</v>
      </c>
      <c r="L42" s="839">
        <v>10</v>
      </c>
      <c r="M42" s="837">
        <f t="shared" si="5"/>
        <v>1400</v>
      </c>
      <c r="N42" s="836">
        <f t="shared" si="2"/>
        <v>1.4</v>
      </c>
      <c r="O42" s="3348"/>
      <c r="P42" s="840">
        <v>146</v>
      </c>
      <c r="Q42" s="6" t="s">
        <v>928</v>
      </c>
      <c r="R42" s="835">
        <v>110</v>
      </c>
      <c r="S42" s="839">
        <v>10</v>
      </c>
      <c r="T42" s="837">
        <f t="shared" si="7"/>
        <v>1100</v>
      </c>
      <c r="U42" s="836">
        <f t="shared" si="9"/>
        <v>1.1000000000000001</v>
      </c>
      <c r="V42" s="3348"/>
      <c r="X42" s="6" t="s">
        <v>1115</v>
      </c>
      <c r="Y42" s="839" t="s">
        <v>1116</v>
      </c>
      <c r="Z42" s="835" t="s">
        <v>1027</v>
      </c>
      <c r="AA42" s="831"/>
      <c r="AB42" s="6" t="s">
        <v>1117</v>
      </c>
      <c r="AC42" s="839" t="s">
        <v>1021</v>
      </c>
      <c r="AD42" s="835" t="s">
        <v>1048</v>
      </c>
      <c r="AE42" s="831"/>
      <c r="AF42" s="864"/>
      <c r="AG42" s="865"/>
      <c r="AH42" s="865"/>
      <c r="AI42" s="865"/>
      <c r="AJ42" s="865"/>
      <c r="AK42" s="865"/>
      <c r="AL42" s="865"/>
      <c r="AM42" s="865"/>
      <c r="AN42" s="866"/>
      <c r="AO42" s="866"/>
      <c r="AP42" s="866"/>
      <c r="AQ42" s="866"/>
      <c r="AR42" s="866"/>
      <c r="AS42" s="866"/>
      <c r="AT42" s="77"/>
    </row>
    <row r="43" spans="1:62" ht="21" customHeight="1">
      <c r="A43" s="3348"/>
      <c r="B43" s="840">
        <v>35</v>
      </c>
      <c r="C43" s="6" t="s">
        <v>929</v>
      </c>
      <c r="D43" s="835">
        <v>80</v>
      </c>
      <c r="E43" s="839">
        <v>10</v>
      </c>
      <c r="F43" s="837">
        <f t="shared" si="8"/>
        <v>800</v>
      </c>
      <c r="G43" s="836">
        <f t="shared" ref="G43:G66" si="10">F43/1000</f>
        <v>0.8</v>
      </c>
      <c r="H43" s="3348"/>
      <c r="I43" s="840"/>
      <c r="J43" s="827" t="s">
        <v>930</v>
      </c>
      <c r="K43" s="835">
        <v>0</v>
      </c>
      <c r="L43" s="839"/>
      <c r="M43" s="837">
        <f t="shared" si="5"/>
        <v>0</v>
      </c>
      <c r="N43" s="836">
        <f t="shared" si="2"/>
        <v>0</v>
      </c>
      <c r="O43" s="3348"/>
      <c r="P43" s="840">
        <v>147</v>
      </c>
      <c r="Q43" s="6" t="s">
        <v>931</v>
      </c>
      <c r="R43" s="835">
        <v>50</v>
      </c>
      <c r="S43" s="839">
        <v>10</v>
      </c>
      <c r="T43" s="837">
        <f t="shared" si="7"/>
        <v>500</v>
      </c>
      <c r="U43" s="836">
        <f t="shared" si="9"/>
        <v>0.5</v>
      </c>
      <c r="V43" s="3348"/>
      <c r="X43" s="6" t="s">
        <v>1118</v>
      </c>
      <c r="Y43" s="839" t="s">
        <v>1021</v>
      </c>
      <c r="Z43" s="835" t="s">
        <v>1100</v>
      </c>
      <c r="AA43" s="831"/>
      <c r="AB43" s="6" t="s">
        <v>1119</v>
      </c>
      <c r="AC43" s="839" t="s">
        <v>1008</v>
      </c>
      <c r="AD43" s="835" t="s">
        <v>1120</v>
      </c>
      <c r="AE43" s="831"/>
      <c r="AF43" s="864" t="s">
        <v>1427</v>
      </c>
      <c r="AG43" s="865"/>
      <c r="AH43" s="865"/>
      <c r="AI43" s="865"/>
      <c r="AJ43" s="865"/>
      <c r="AK43" s="865"/>
      <c r="AL43" s="865"/>
      <c r="AM43" s="865"/>
      <c r="AN43" s="866"/>
      <c r="AO43" s="866"/>
      <c r="AP43" s="866"/>
      <c r="AQ43" s="866"/>
      <c r="AR43" s="866"/>
      <c r="AS43" s="866"/>
      <c r="AT43" s="77"/>
    </row>
    <row r="44" spans="1:62" ht="18.75">
      <c r="A44" s="3348"/>
      <c r="B44" s="840">
        <v>36</v>
      </c>
      <c r="C44" s="6" t="s">
        <v>932</v>
      </c>
      <c r="D44" s="835">
        <v>70</v>
      </c>
      <c r="E44" s="839">
        <v>10</v>
      </c>
      <c r="F44" s="837">
        <f t="shared" si="8"/>
        <v>700</v>
      </c>
      <c r="G44" s="836">
        <f t="shared" si="10"/>
        <v>0.7</v>
      </c>
      <c r="H44" s="3348"/>
      <c r="I44" s="840">
        <v>88</v>
      </c>
      <c r="J44" s="6" t="s">
        <v>933</v>
      </c>
      <c r="K44" s="835">
        <v>400</v>
      </c>
      <c r="L44" s="839">
        <v>10</v>
      </c>
      <c r="M44" s="837">
        <f t="shared" si="5"/>
        <v>4000</v>
      </c>
      <c r="N44" s="836">
        <f t="shared" si="2"/>
        <v>4</v>
      </c>
      <c r="O44" s="3348"/>
      <c r="P44" s="840">
        <v>148</v>
      </c>
      <c r="Q44" s="6" t="s">
        <v>934</v>
      </c>
      <c r="R44" s="835">
        <v>50</v>
      </c>
      <c r="S44" s="839">
        <v>10</v>
      </c>
      <c r="T44" s="837">
        <f t="shared" si="7"/>
        <v>500</v>
      </c>
      <c r="U44" s="836">
        <f t="shared" si="9"/>
        <v>0.5</v>
      </c>
      <c r="V44" s="3348"/>
      <c r="X44" s="6" t="s">
        <v>1121</v>
      </c>
      <c r="Y44" s="839" t="s">
        <v>1021</v>
      </c>
      <c r="Z44" s="835" t="s">
        <v>1080</v>
      </c>
      <c r="AA44" s="831"/>
      <c r="AB44" s="6" t="s">
        <v>1122</v>
      </c>
      <c r="AC44" s="839" t="s">
        <v>1021</v>
      </c>
      <c r="AD44" s="835" t="s">
        <v>1123</v>
      </c>
      <c r="AE44" s="831"/>
      <c r="AF44" s="864"/>
      <c r="AG44" s="865"/>
      <c r="AH44" s="865"/>
      <c r="AI44" s="865"/>
      <c r="AJ44" s="865"/>
      <c r="AK44" s="865"/>
      <c r="AL44" s="865"/>
      <c r="AM44" s="865"/>
      <c r="AN44" s="866"/>
      <c r="AO44" s="866"/>
      <c r="AP44" s="866"/>
      <c r="AQ44" s="866"/>
      <c r="AR44" s="866"/>
      <c r="AS44" s="866"/>
      <c r="AT44" s="77"/>
    </row>
    <row r="45" spans="1:62" ht="18.75">
      <c r="A45" s="3348"/>
      <c r="B45" s="840">
        <v>37</v>
      </c>
      <c r="C45" s="6" t="s">
        <v>935</v>
      </c>
      <c r="D45" s="835">
        <v>2000</v>
      </c>
      <c r="E45" s="839">
        <v>10</v>
      </c>
      <c r="F45" s="837">
        <f t="shared" si="8"/>
        <v>20000</v>
      </c>
      <c r="G45" s="838">
        <f t="shared" si="10"/>
        <v>20</v>
      </c>
      <c r="H45" s="3348"/>
      <c r="I45" s="840">
        <v>89</v>
      </c>
      <c r="J45" s="6" t="s">
        <v>936</v>
      </c>
      <c r="K45" s="835">
        <v>120</v>
      </c>
      <c r="L45" s="839">
        <v>10</v>
      </c>
      <c r="M45" s="837">
        <f t="shared" si="5"/>
        <v>1200</v>
      </c>
      <c r="N45" s="836">
        <f t="shared" si="2"/>
        <v>1.2</v>
      </c>
      <c r="O45" s="3348"/>
      <c r="P45" s="840">
        <v>149</v>
      </c>
      <c r="Q45" s="6" t="s">
        <v>937</v>
      </c>
      <c r="R45" s="835">
        <v>250</v>
      </c>
      <c r="S45" s="839">
        <v>10</v>
      </c>
      <c r="T45" s="837">
        <f t="shared" si="7"/>
        <v>2500</v>
      </c>
      <c r="U45" s="836">
        <f t="shared" si="9"/>
        <v>2.5</v>
      </c>
      <c r="V45" s="3348"/>
      <c r="X45" s="6" t="s">
        <v>1124</v>
      </c>
      <c r="Y45" s="839" t="s">
        <v>1011</v>
      </c>
      <c r="Z45" s="835" t="s">
        <v>1125</v>
      </c>
      <c r="AA45" s="831"/>
      <c r="AB45" s="6" t="s">
        <v>1126</v>
      </c>
      <c r="AC45" s="839" t="s">
        <v>1021</v>
      </c>
      <c r="AD45" s="835" t="s">
        <v>1033</v>
      </c>
      <c r="AE45" s="831"/>
      <c r="AF45" s="864" t="s">
        <v>1428</v>
      </c>
      <c r="AG45" s="865"/>
      <c r="AH45" s="865"/>
      <c r="AI45" s="865"/>
      <c r="AJ45" s="865"/>
      <c r="AK45" s="865"/>
      <c r="AL45" s="865"/>
      <c r="AM45" s="865"/>
      <c r="AN45" s="866"/>
      <c r="AO45" s="866"/>
      <c r="AP45" s="866"/>
      <c r="AQ45" s="866"/>
      <c r="AR45" s="866"/>
      <c r="AS45" s="866"/>
      <c r="AT45" s="77"/>
    </row>
    <row r="46" spans="1:62" ht="18.75">
      <c r="A46" s="3348"/>
      <c r="B46" s="840">
        <v>38</v>
      </c>
      <c r="C46" s="6" t="s">
        <v>938</v>
      </c>
      <c r="D46" s="835">
        <v>200</v>
      </c>
      <c r="E46" s="839">
        <v>10</v>
      </c>
      <c r="F46" s="837">
        <f t="shared" si="8"/>
        <v>2000</v>
      </c>
      <c r="G46" s="836">
        <f t="shared" si="10"/>
        <v>2</v>
      </c>
      <c r="H46" s="3348"/>
      <c r="I46" s="840">
        <v>90</v>
      </c>
      <c r="J46" s="6" t="s">
        <v>939</v>
      </c>
      <c r="K46" s="835">
        <v>1</v>
      </c>
      <c r="L46" s="839">
        <v>10</v>
      </c>
      <c r="M46" s="837">
        <f t="shared" si="5"/>
        <v>10</v>
      </c>
      <c r="N46" s="836">
        <f t="shared" si="2"/>
        <v>0.01</v>
      </c>
      <c r="O46" s="3348"/>
      <c r="P46" s="840">
        <v>150</v>
      </c>
      <c r="Q46" s="6" t="s">
        <v>940</v>
      </c>
      <c r="R46" s="835">
        <v>3500</v>
      </c>
      <c r="S46" s="839">
        <v>10</v>
      </c>
      <c r="T46" s="837">
        <f t="shared" si="7"/>
        <v>35000</v>
      </c>
      <c r="U46" s="838">
        <f t="shared" si="9"/>
        <v>35</v>
      </c>
      <c r="V46" s="3348"/>
      <c r="X46" s="6" t="s">
        <v>932</v>
      </c>
      <c r="Y46" s="839">
        <v>1</v>
      </c>
      <c r="Z46" s="835" t="s">
        <v>1082</v>
      </c>
      <c r="AA46" s="831"/>
      <c r="AB46" s="6" t="s">
        <v>1127</v>
      </c>
      <c r="AC46" s="839" t="s">
        <v>1050</v>
      </c>
      <c r="AD46" s="835" t="s">
        <v>1128</v>
      </c>
      <c r="AE46" s="831"/>
      <c r="AF46" s="864"/>
      <c r="AG46" s="865"/>
      <c r="AH46" s="865"/>
      <c r="AI46" s="865"/>
      <c r="AJ46" s="865"/>
      <c r="AK46" s="865"/>
      <c r="AL46" s="865"/>
      <c r="AM46" s="865"/>
      <c r="AN46" s="866"/>
      <c r="AO46" s="866"/>
      <c r="AP46" s="866"/>
      <c r="AQ46" s="866"/>
      <c r="AR46" s="866"/>
      <c r="AS46" s="866"/>
      <c r="AT46" s="77"/>
    </row>
    <row r="47" spans="1:62" ht="20.25">
      <c r="A47" s="3348"/>
      <c r="B47" s="840">
        <v>39</v>
      </c>
      <c r="C47" s="6" t="s">
        <v>941</v>
      </c>
      <c r="D47" s="835">
        <v>120</v>
      </c>
      <c r="E47" s="839">
        <v>10</v>
      </c>
      <c r="F47" s="837">
        <f t="shared" si="8"/>
        <v>1200</v>
      </c>
      <c r="G47" s="836">
        <f t="shared" si="10"/>
        <v>1.2</v>
      </c>
      <c r="H47" s="3348"/>
      <c r="I47" s="840">
        <v>91</v>
      </c>
      <c r="J47" s="6" t="s">
        <v>942</v>
      </c>
      <c r="K47" s="835">
        <v>200</v>
      </c>
      <c r="L47" s="839">
        <v>10</v>
      </c>
      <c r="M47" s="837">
        <f t="shared" si="5"/>
        <v>2000</v>
      </c>
      <c r="N47" s="836">
        <f t="shared" si="2"/>
        <v>2</v>
      </c>
      <c r="O47" s="3348"/>
      <c r="P47" s="840"/>
      <c r="Q47" s="827" t="s">
        <v>943</v>
      </c>
      <c r="R47" s="835">
        <v>0</v>
      </c>
      <c r="S47" s="839"/>
      <c r="T47" s="837">
        <f t="shared" si="7"/>
        <v>0</v>
      </c>
      <c r="U47" s="836">
        <f t="shared" si="9"/>
        <v>0</v>
      </c>
      <c r="V47" s="3348"/>
      <c r="X47" s="6" t="s">
        <v>1129</v>
      </c>
      <c r="Y47" s="839" t="s">
        <v>1021</v>
      </c>
      <c r="Z47" s="835" t="s">
        <v>1100</v>
      </c>
      <c r="AA47" s="831"/>
      <c r="AB47" s="6" t="s">
        <v>1130</v>
      </c>
      <c r="AC47" s="839" t="s">
        <v>1050</v>
      </c>
      <c r="AD47" s="835" t="s">
        <v>1125</v>
      </c>
      <c r="AE47" s="831"/>
      <c r="AF47" s="864" t="s">
        <v>1429</v>
      </c>
      <c r="AG47" s="865"/>
      <c r="AH47" s="865"/>
      <c r="AI47" s="865"/>
      <c r="AJ47" s="865"/>
      <c r="AK47" s="865"/>
      <c r="AL47" s="865"/>
      <c r="AM47" s="865"/>
      <c r="AN47" s="866"/>
      <c r="AO47" s="866"/>
      <c r="AP47" s="866"/>
      <c r="AQ47" s="866"/>
      <c r="AR47" s="866"/>
      <c r="AS47" s="866"/>
      <c r="AT47" s="77"/>
    </row>
    <row r="48" spans="1:62" ht="18.75">
      <c r="A48" s="3348"/>
      <c r="B48" s="840">
        <v>40</v>
      </c>
      <c r="C48" s="6" t="s">
        <v>944</v>
      </c>
      <c r="D48" s="835">
        <v>350</v>
      </c>
      <c r="E48" s="839">
        <v>10</v>
      </c>
      <c r="F48" s="837">
        <f t="shared" si="8"/>
        <v>3500</v>
      </c>
      <c r="G48" s="836">
        <f t="shared" si="10"/>
        <v>3.5</v>
      </c>
      <c r="H48" s="3348"/>
      <c r="I48" s="840">
        <v>92</v>
      </c>
      <c r="J48" s="6" t="s">
        <v>945</v>
      </c>
      <c r="K48" s="835">
        <v>40</v>
      </c>
      <c r="L48" s="839">
        <v>10</v>
      </c>
      <c r="M48" s="837">
        <f t="shared" si="5"/>
        <v>400</v>
      </c>
      <c r="N48" s="836">
        <f t="shared" si="2"/>
        <v>0.4</v>
      </c>
      <c r="O48" s="3348"/>
      <c r="P48" s="840">
        <v>151</v>
      </c>
      <c r="Q48" s="6" t="s">
        <v>946</v>
      </c>
      <c r="R48" s="835">
        <v>2200</v>
      </c>
      <c r="S48" s="839">
        <v>10</v>
      </c>
      <c r="T48" s="837">
        <f t="shared" si="7"/>
        <v>22000</v>
      </c>
      <c r="U48" s="838">
        <f t="shared" si="9"/>
        <v>22</v>
      </c>
      <c r="V48" s="3348"/>
      <c r="X48" s="6" t="s">
        <v>1131</v>
      </c>
      <c r="Y48" s="839" t="s">
        <v>1086</v>
      </c>
      <c r="Z48" s="835" t="s">
        <v>1096</v>
      </c>
      <c r="AA48" s="831"/>
      <c r="AB48" s="6" t="s">
        <v>1132</v>
      </c>
      <c r="AC48" s="839">
        <v>1</v>
      </c>
      <c r="AD48" s="835" t="s">
        <v>1087</v>
      </c>
      <c r="AE48" s="831"/>
      <c r="AF48" s="864"/>
      <c r="AG48" s="865"/>
      <c r="AH48" s="865"/>
      <c r="AI48" s="865"/>
      <c r="AJ48" s="865"/>
      <c r="AK48" s="865"/>
      <c r="AL48" s="865"/>
      <c r="AM48" s="865"/>
      <c r="AN48" s="866"/>
      <c r="AO48" s="866"/>
      <c r="AP48" s="866"/>
      <c r="AQ48" s="866"/>
      <c r="AR48" s="866"/>
      <c r="AS48" s="866"/>
      <c r="AT48" s="77"/>
    </row>
    <row r="49" spans="1:46" ht="18.75">
      <c r="A49" s="3348"/>
      <c r="B49" s="840">
        <v>41</v>
      </c>
      <c r="C49" s="6" t="s">
        <v>947</v>
      </c>
      <c r="D49" s="835">
        <v>200</v>
      </c>
      <c r="E49" s="839">
        <v>10</v>
      </c>
      <c r="F49" s="837">
        <f t="shared" si="8"/>
        <v>2000</v>
      </c>
      <c r="G49" s="836">
        <f t="shared" si="10"/>
        <v>2</v>
      </c>
      <c r="H49" s="3348"/>
      <c r="I49" s="840">
        <v>93</v>
      </c>
      <c r="J49" s="6" t="s">
        <v>948</v>
      </c>
      <c r="K49" s="835">
        <v>150</v>
      </c>
      <c r="L49" s="839">
        <v>10</v>
      </c>
      <c r="M49" s="837">
        <f t="shared" si="5"/>
        <v>1500</v>
      </c>
      <c r="N49" s="836">
        <f t="shared" si="2"/>
        <v>1.5</v>
      </c>
      <c r="O49" s="3348"/>
      <c r="P49" s="840">
        <v>152</v>
      </c>
      <c r="Q49" s="6" t="s">
        <v>949</v>
      </c>
      <c r="R49" s="835">
        <v>2000</v>
      </c>
      <c r="S49" s="839">
        <v>10</v>
      </c>
      <c r="T49" s="837">
        <f t="shared" si="7"/>
        <v>20000</v>
      </c>
      <c r="U49" s="838">
        <f t="shared" si="9"/>
        <v>20</v>
      </c>
      <c r="V49" s="3348"/>
      <c r="X49" s="6" t="s">
        <v>1133</v>
      </c>
      <c r="Y49" s="839" t="s">
        <v>1021</v>
      </c>
      <c r="Z49" s="835" t="s">
        <v>1080</v>
      </c>
      <c r="AA49" s="831"/>
      <c r="AB49" s="6" t="s">
        <v>1134</v>
      </c>
      <c r="AC49" s="839" t="s">
        <v>1021</v>
      </c>
      <c r="AD49" s="835" t="s">
        <v>1033</v>
      </c>
      <c r="AE49" s="831"/>
      <c r="AF49" s="864" t="s">
        <v>1430</v>
      </c>
      <c r="AG49" s="865"/>
      <c r="AH49" s="865"/>
      <c r="AI49" s="865"/>
      <c r="AJ49" s="865"/>
      <c r="AK49" s="865"/>
      <c r="AL49" s="865"/>
      <c r="AM49" s="865"/>
      <c r="AN49" s="866"/>
      <c r="AO49" s="866"/>
      <c r="AP49" s="866"/>
      <c r="AQ49" s="866"/>
      <c r="AR49" s="866"/>
      <c r="AS49" s="866"/>
      <c r="AT49" s="77"/>
    </row>
    <row r="50" spans="1:46" ht="18.75">
      <c r="A50" s="3348"/>
      <c r="B50" s="840">
        <v>42</v>
      </c>
      <c r="C50" s="6" t="s">
        <v>950</v>
      </c>
      <c r="D50" s="835">
        <v>5</v>
      </c>
      <c r="E50" s="839">
        <v>10</v>
      </c>
      <c r="F50" s="837">
        <f t="shared" si="8"/>
        <v>50</v>
      </c>
      <c r="G50" s="836">
        <f t="shared" si="10"/>
        <v>0.05</v>
      </c>
      <c r="H50" s="3348"/>
      <c r="I50" s="840">
        <v>94</v>
      </c>
      <c r="J50" s="6" t="s">
        <v>951</v>
      </c>
      <c r="K50" s="835">
        <v>150</v>
      </c>
      <c r="L50" s="839">
        <v>10</v>
      </c>
      <c r="M50" s="837">
        <f t="shared" si="5"/>
        <v>1500</v>
      </c>
      <c r="N50" s="836">
        <f t="shared" si="2"/>
        <v>1.5</v>
      </c>
      <c r="O50" s="3348"/>
      <c r="P50" s="840">
        <v>153</v>
      </c>
      <c r="Q50" s="6" t="s">
        <v>952</v>
      </c>
      <c r="R50" s="835">
        <v>300</v>
      </c>
      <c r="S50" s="839">
        <v>10</v>
      </c>
      <c r="T50" s="837">
        <f t="shared" si="7"/>
        <v>3000</v>
      </c>
      <c r="U50" s="836">
        <f t="shared" si="9"/>
        <v>3</v>
      </c>
      <c r="V50" s="3348"/>
      <c r="X50" s="6" t="s">
        <v>1135</v>
      </c>
      <c r="Y50" s="839" t="s">
        <v>1024</v>
      </c>
      <c r="Z50" s="835" t="s">
        <v>1054</v>
      </c>
      <c r="AA50" s="831"/>
      <c r="AB50" s="6" t="s">
        <v>1136</v>
      </c>
      <c r="AC50" s="839">
        <v>1</v>
      </c>
      <c r="AD50" s="835" t="s">
        <v>1094</v>
      </c>
      <c r="AE50" s="831"/>
      <c r="AF50" s="864"/>
      <c r="AG50" s="865"/>
      <c r="AH50" s="865"/>
      <c r="AI50" s="865"/>
      <c r="AJ50" s="865"/>
      <c r="AK50" s="865"/>
      <c r="AL50" s="865"/>
      <c r="AM50" s="865"/>
      <c r="AN50" s="866"/>
      <c r="AO50" s="866"/>
      <c r="AP50" s="866"/>
      <c r="AQ50" s="866"/>
      <c r="AR50" s="866"/>
      <c r="AS50" s="866"/>
      <c r="AT50" s="77"/>
    </row>
    <row r="51" spans="1:46" ht="18.75">
      <c r="A51" s="3348"/>
      <c r="B51" s="840">
        <v>43</v>
      </c>
      <c r="C51" s="6" t="s">
        <v>953</v>
      </c>
      <c r="D51" s="835">
        <v>10</v>
      </c>
      <c r="E51" s="839">
        <v>10</v>
      </c>
      <c r="F51" s="837">
        <f t="shared" si="8"/>
        <v>100</v>
      </c>
      <c r="G51" s="836">
        <f t="shared" si="10"/>
        <v>0.1</v>
      </c>
      <c r="H51" s="3348"/>
      <c r="I51" s="840">
        <v>95</v>
      </c>
      <c r="J51" s="6" t="s">
        <v>954</v>
      </c>
      <c r="K51" s="835">
        <v>200</v>
      </c>
      <c r="L51" s="839">
        <v>10</v>
      </c>
      <c r="M51" s="837">
        <f t="shared" si="5"/>
        <v>2000</v>
      </c>
      <c r="N51" s="836">
        <f t="shared" si="2"/>
        <v>2</v>
      </c>
      <c r="O51" s="3348"/>
      <c r="P51" s="840">
        <v>154</v>
      </c>
      <c r="Q51" s="6" t="s">
        <v>955</v>
      </c>
      <c r="R51" s="835">
        <v>900</v>
      </c>
      <c r="S51" s="839">
        <v>10</v>
      </c>
      <c r="T51" s="837">
        <f t="shared" si="7"/>
        <v>9000</v>
      </c>
      <c r="U51" s="836">
        <f t="shared" si="9"/>
        <v>9</v>
      </c>
      <c r="V51" s="3348"/>
      <c r="X51" s="6" t="s">
        <v>1137</v>
      </c>
      <c r="Y51" s="839" t="s">
        <v>1050</v>
      </c>
      <c r="Z51" s="835" t="s">
        <v>1080</v>
      </c>
      <c r="AA51" s="831"/>
      <c r="AB51" s="6" t="s">
        <v>1138</v>
      </c>
      <c r="AC51" s="839" t="s">
        <v>1045</v>
      </c>
      <c r="AD51" s="835" t="s">
        <v>1139</v>
      </c>
      <c r="AE51" s="831"/>
      <c r="AF51" s="864" t="s">
        <v>1431</v>
      </c>
      <c r="AG51" s="865"/>
      <c r="AH51" s="865"/>
      <c r="AI51" s="865"/>
      <c r="AJ51" s="865"/>
      <c r="AK51" s="865"/>
      <c r="AL51" s="865"/>
      <c r="AM51" s="865"/>
      <c r="AN51" s="866"/>
      <c r="AO51" s="866"/>
      <c r="AP51" s="866"/>
      <c r="AQ51" s="866"/>
      <c r="AR51" s="866"/>
      <c r="AS51" s="866"/>
      <c r="AT51" s="77"/>
    </row>
    <row r="52" spans="1:46" ht="20.25">
      <c r="A52" s="3348"/>
      <c r="B52" s="840"/>
      <c r="C52" s="827" t="s">
        <v>356</v>
      </c>
      <c r="D52" s="835">
        <v>0</v>
      </c>
      <c r="E52" s="839"/>
      <c r="F52" s="837">
        <f t="shared" si="8"/>
        <v>0</v>
      </c>
      <c r="G52" s="836">
        <f t="shared" si="10"/>
        <v>0</v>
      </c>
      <c r="H52" s="3348"/>
      <c r="I52" s="840">
        <v>96</v>
      </c>
      <c r="J52" s="6" t="s">
        <v>956</v>
      </c>
      <c r="K52" s="835">
        <v>140</v>
      </c>
      <c r="L52" s="839">
        <v>10</v>
      </c>
      <c r="M52" s="837">
        <f t="shared" si="5"/>
        <v>1400</v>
      </c>
      <c r="N52" s="836">
        <f t="shared" si="2"/>
        <v>1.4</v>
      </c>
      <c r="O52" s="3348"/>
      <c r="P52" s="840">
        <v>155</v>
      </c>
      <c r="Q52" s="6" t="s">
        <v>957</v>
      </c>
      <c r="R52" s="835">
        <v>3500</v>
      </c>
      <c r="S52" s="839">
        <v>10</v>
      </c>
      <c r="T52" s="837">
        <f t="shared" si="7"/>
        <v>35000</v>
      </c>
      <c r="U52" s="838">
        <f t="shared" si="9"/>
        <v>35</v>
      </c>
      <c r="V52" s="3348"/>
      <c r="X52" s="6" t="s">
        <v>1140</v>
      </c>
      <c r="Y52" s="839">
        <v>1</v>
      </c>
      <c r="Z52" s="835" t="s">
        <v>1141</v>
      </c>
      <c r="AA52" s="831"/>
      <c r="AB52" s="6" t="s">
        <v>1142</v>
      </c>
      <c r="AC52" s="839" t="s">
        <v>1008</v>
      </c>
      <c r="AD52" s="835" t="s">
        <v>1012</v>
      </c>
      <c r="AE52" s="831"/>
      <c r="AF52" s="864"/>
      <c r="AG52" s="865"/>
      <c r="AH52" s="865"/>
      <c r="AI52" s="865"/>
      <c r="AJ52" s="865"/>
      <c r="AK52" s="865"/>
      <c r="AL52" s="865"/>
      <c r="AM52" s="865"/>
      <c r="AN52" s="866"/>
      <c r="AO52" s="866"/>
      <c r="AP52" s="866"/>
      <c r="AQ52" s="866"/>
      <c r="AR52" s="866"/>
      <c r="AS52" s="866"/>
      <c r="AT52" s="77"/>
    </row>
    <row r="53" spans="1:46" ht="18.75">
      <c r="A53" s="3348"/>
      <c r="B53" s="840">
        <v>44</v>
      </c>
      <c r="C53" s="6" t="s">
        <v>958</v>
      </c>
      <c r="D53" s="835">
        <v>600</v>
      </c>
      <c r="E53" s="839">
        <v>10</v>
      </c>
      <c r="F53" s="837">
        <f t="shared" si="8"/>
        <v>6000</v>
      </c>
      <c r="G53" s="836">
        <f t="shared" si="10"/>
        <v>6</v>
      </c>
      <c r="H53" s="3348"/>
      <c r="I53" s="840">
        <v>97</v>
      </c>
      <c r="J53" s="6" t="s">
        <v>959</v>
      </c>
      <c r="K53" s="835">
        <v>100</v>
      </c>
      <c r="L53" s="839">
        <v>10</v>
      </c>
      <c r="M53" s="837">
        <f t="shared" si="5"/>
        <v>1000</v>
      </c>
      <c r="N53" s="836">
        <f t="shared" si="2"/>
        <v>1</v>
      </c>
      <c r="O53" s="3348"/>
      <c r="P53" s="840">
        <v>156</v>
      </c>
      <c r="Q53" s="6" t="s">
        <v>960</v>
      </c>
      <c r="R53" s="835">
        <v>1200</v>
      </c>
      <c r="S53" s="839">
        <v>10</v>
      </c>
      <c r="T53" s="837">
        <f t="shared" si="7"/>
        <v>12000</v>
      </c>
      <c r="U53" s="838">
        <f t="shared" si="9"/>
        <v>12</v>
      </c>
      <c r="V53" s="3348"/>
      <c r="X53" s="6" t="s">
        <v>1143</v>
      </c>
      <c r="Y53" s="839">
        <v>1</v>
      </c>
      <c r="Z53" s="835" t="s">
        <v>1144</v>
      </c>
      <c r="AA53" s="831"/>
      <c r="AB53" s="6" t="s">
        <v>1145</v>
      </c>
      <c r="AC53" s="839" t="s">
        <v>1021</v>
      </c>
      <c r="AD53" s="835" t="s">
        <v>1094</v>
      </c>
      <c r="AE53" s="831"/>
      <c r="AF53" s="865"/>
      <c r="AG53" s="864" t="s">
        <v>1317</v>
      </c>
      <c r="AH53" s="865"/>
      <c r="AI53" s="865"/>
      <c r="AJ53" s="865"/>
      <c r="AK53" s="865"/>
      <c r="AL53" s="865"/>
      <c r="AM53" s="865"/>
      <c r="AN53" s="866"/>
      <c r="AO53" s="866"/>
      <c r="AP53" s="866"/>
      <c r="AQ53" s="866"/>
      <c r="AR53" s="866"/>
      <c r="AS53" s="866"/>
      <c r="AT53" s="77"/>
    </row>
    <row r="54" spans="1:46" ht="20.25">
      <c r="A54" s="3348"/>
      <c r="B54" s="840"/>
      <c r="C54" s="819" t="s">
        <v>961</v>
      </c>
      <c r="D54" s="835">
        <v>0</v>
      </c>
      <c r="E54" s="839"/>
      <c r="F54" s="837">
        <f t="shared" si="8"/>
        <v>0</v>
      </c>
      <c r="G54" s="836">
        <f t="shared" si="10"/>
        <v>0</v>
      </c>
      <c r="H54" s="3348"/>
      <c r="I54" s="840">
        <v>98</v>
      </c>
      <c r="J54" s="6" t="s">
        <v>962</v>
      </c>
      <c r="K54" s="835">
        <v>150</v>
      </c>
      <c r="L54" s="839">
        <v>10</v>
      </c>
      <c r="M54" s="837">
        <f t="shared" si="5"/>
        <v>1500</v>
      </c>
      <c r="N54" s="836">
        <f t="shared" si="2"/>
        <v>1.5</v>
      </c>
      <c r="O54" s="3348"/>
      <c r="P54" s="840">
        <v>157</v>
      </c>
      <c r="Q54" s="6" t="s">
        <v>963</v>
      </c>
      <c r="R54" s="835">
        <v>3100</v>
      </c>
      <c r="S54" s="839">
        <v>10</v>
      </c>
      <c r="T54" s="837">
        <f t="shared" si="7"/>
        <v>31000</v>
      </c>
      <c r="U54" s="838">
        <f t="shared" si="9"/>
        <v>31</v>
      </c>
      <c r="V54" s="3348"/>
      <c r="X54" s="6" t="s">
        <v>1146</v>
      </c>
      <c r="Y54" s="839" t="s">
        <v>1147</v>
      </c>
      <c r="Z54" s="835" t="s">
        <v>1148</v>
      </c>
      <c r="AA54" s="831"/>
      <c r="AB54" s="6" t="s">
        <v>1149</v>
      </c>
      <c r="AC54" s="839" t="s">
        <v>1045</v>
      </c>
      <c r="AD54" s="835" t="s">
        <v>1150</v>
      </c>
      <c r="AE54" s="831"/>
      <c r="AF54" s="865"/>
      <c r="AG54" s="864" t="s">
        <v>1318</v>
      </c>
      <c r="AH54" s="865"/>
      <c r="AI54" s="865"/>
      <c r="AJ54" s="870"/>
      <c r="AK54" s="870"/>
      <c r="AL54" s="870"/>
      <c r="AM54" s="865"/>
      <c r="AN54" s="866"/>
      <c r="AO54" s="866"/>
      <c r="AP54" s="866"/>
      <c r="AQ54" s="866"/>
      <c r="AR54" s="866"/>
      <c r="AS54" s="866"/>
      <c r="AT54" s="77"/>
    </row>
    <row r="55" spans="1:46" ht="18.75">
      <c r="A55" s="3348"/>
      <c r="B55" s="840">
        <v>45</v>
      </c>
      <c r="C55" s="6" t="s">
        <v>964</v>
      </c>
      <c r="D55" s="835">
        <v>200</v>
      </c>
      <c r="E55" s="839">
        <v>10</v>
      </c>
      <c r="F55" s="837">
        <f t="shared" si="8"/>
        <v>2000</v>
      </c>
      <c r="G55" s="836">
        <f t="shared" si="10"/>
        <v>2</v>
      </c>
      <c r="H55" s="3348"/>
      <c r="I55" s="840">
        <v>99</v>
      </c>
      <c r="J55" s="6" t="s">
        <v>965</v>
      </c>
      <c r="K55" s="835">
        <v>100</v>
      </c>
      <c r="L55" s="839">
        <v>10</v>
      </c>
      <c r="M55" s="837">
        <f t="shared" si="5"/>
        <v>1000</v>
      </c>
      <c r="N55" s="836">
        <f t="shared" si="2"/>
        <v>1</v>
      </c>
      <c r="O55" s="3348"/>
      <c r="P55" s="840">
        <v>158</v>
      </c>
      <c r="Q55" s="6" t="s">
        <v>966</v>
      </c>
      <c r="R55" s="835">
        <v>2650</v>
      </c>
      <c r="S55" s="839">
        <v>10</v>
      </c>
      <c r="T55" s="837">
        <f t="shared" si="7"/>
        <v>26500</v>
      </c>
      <c r="U55" s="838">
        <f t="shared" si="9"/>
        <v>26.5</v>
      </c>
      <c r="V55" s="3348"/>
      <c r="X55" s="6" t="s">
        <v>1151</v>
      </c>
      <c r="Y55" s="839" t="s">
        <v>1021</v>
      </c>
      <c r="Z55" s="835" t="s">
        <v>1082</v>
      </c>
      <c r="AA55" s="831"/>
      <c r="AB55" s="6" t="s">
        <v>956</v>
      </c>
      <c r="AC55" s="839" t="s">
        <v>1008</v>
      </c>
      <c r="AD55" s="835" t="s">
        <v>1078</v>
      </c>
      <c r="AE55" s="831"/>
      <c r="AF55" s="865"/>
      <c r="AG55" s="864"/>
      <c r="AH55" s="865"/>
      <c r="AI55" s="865"/>
      <c r="AJ55" s="870"/>
      <c r="AK55" s="870"/>
      <c r="AL55" s="870"/>
      <c r="AM55" s="865"/>
      <c r="AN55" s="866"/>
      <c r="AO55" s="866"/>
      <c r="AP55" s="866"/>
      <c r="AQ55" s="866"/>
      <c r="AR55" s="866"/>
      <c r="AS55" s="866"/>
      <c r="AT55" s="77"/>
    </row>
    <row r="56" spans="1:46" ht="18.75">
      <c r="A56" s="3348"/>
      <c r="B56" s="840">
        <v>46</v>
      </c>
      <c r="C56" s="6" t="s">
        <v>967</v>
      </c>
      <c r="D56" s="835">
        <v>25</v>
      </c>
      <c r="E56" s="839">
        <v>10</v>
      </c>
      <c r="F56" s="837">
        <f t="shared" si="8"/>
        <v>250</v>
      </c>
      <c r="G56" s="836">
        <f t="shared" si="10"/>
        <v>0.25</v>
      </c>
      <c r="H56" s="3348"/>
      <c r="I56" s="840">
        <v>100</v>
      </c>
      <c r="J56" s="6" t="s">
        <v>968</v>
      </c>
      <c r="K56" s="835">
        <v>200</v>
      </c>
      <c r="L56" s="839">
        <v>10</v>
      </c>
      <c r="M56" s="837">
        <f t="shared" si="5"/>
        <v>2000</v>
      </c>
      <c r="N56" s="836">
        <f t="shared" si="2"/>
        <v>2</v>
      </c>
      <c r="O56" s="3348"/>
      <c r="P56" s="840">
        <v>159</v>
      </c>
      <c r="Q56" s="6" t="s">
        <v>969</v>
      </c>
      <c r="R56" s="835">
        <v>750</v>
      </c>
      <c r="S56" s="839">
        <v>10</v>
      </c>
      <c r="T56" s="837">
        <f t="shared" si="7"/>
        <v>7500</v>
      </c>
      <c r="U56" s="836">
        <f t="shared" si="9"/>
        <v>7.5</v>
      </c>
      <c r="V56" s="3348"/>
      <c r="X56" s="6" t="s">
        <v>1152</v>
      </c>
      <c r="Y56" s="839" t="s">
        <v>1102</v>
      </c>
      <c r="Z56" s="835" t="s">
        <v>1100</v>
      </c>
      <c r="AA56" s="831"/>
      <c r="AB56" s="6" t="s">
        <v>1153</v>
      </c>
      <c r="AC56" s="839">
        <v>1</v>
      </c>
      <c r="AD56" s="835" t="s">
        <v>1051</v>
      </c>
      <c r="AE56" s="831"/>
      <c r="AF56" s="865"/>
      <c r="AG56" s="864" t="s">
        <v>1319</v>
      </c>
      <c r="AH56" s="865"/>
      <c r="AI56" s="865"/>
      <c r="AJ56" s="870"/>
      <c r="AK56" s="870"/>
      <c r="AL56" s="870"/>
      <c r="AM56" s="865"/>
      <c r="AN56" s="866"/>
      <c r="AO56" s="866"/>
      <c r="AP56" s="866"/>
      <c r="AQ56" s="866"/>
      <c r="AR56" s="866"/>
      <c r="AS56" s="866"/>
      <c r="AT56" s="77"/>
    </row>
    <row r="57" spans="1:46" ht="18.75">
      <c r="A57" s="3348"/>
      <c r="B57" s="840">
        <v>47</v>
      </c>
      <c r="C57" s="6" t="s">
        <v>970</v>
      </c>
      <c r="D57" s="835">
        <v>18</v>
      </c>
      <c r="E57" s="839">
        <v>10</v>
      </c>
      <c r="F57" s="837">
        <f t="shared" si="8"/>
        <v>180</v>
      </c>
      <c r="G57" s="836">
        <f t="shared" si="10"/>
        <v>0.18</v>
      </c>
      <c r="H57" s="3348"/>
      <c r="I57" s="840">
        <v>101</v>
      </c>
      <c r="J57" s="6" t="s">
        <v>971</v>
      </c>
      <c r="K57" s="835">
        <v>120</v>
      </c>
      <c r="L57" s="839">
        <v>10</v>
      </c>
      <c r="M57" s="837">
        <f t="shared" si="5"/>
        <v>1200</v>
      </c>
      <c r="N57" s="836">
        <f t="shared" si="2"/>
        <v>1.2</v>
      </c>
      <c r="O57" s="3348"/>
      <c r="P57" s="840">
        <v>160</v>
      </c>
      <c r="Q57" s="6" t="s">
        <v>972</v>
      </c>
      <c r="R57" s="835">
        <v>350</v>
      </c>
      <c r="S57" s="839">
        <v>10</v>
      </c>
      <c r="T57" s="837">
        <f t="shared" si="7"/>
        <v>3500</v>
      </c>
      <c r="U57" s="836">
        <f t="shared" si="9"/>
        <v>3.5</v>
      </c>
      <c r="V57" s="3348"/>
      <c r="X57" s="6" t="s">
        <v>1154</v>
      </c>
      <c r="Y57" s="839" t="s">
        <v>1021</v>
      </c>
      <c r="Z57" s="835" t="s">
        <v>1155</v>
      </c>
      <c r="AA57" s="831"/>
      <c r="AB57" s="6" t="s">
        <v>1156</v>
      </c>
      <c r="AC57" s="839" t="s">
        <v>1021</v>
      </c>
      <c r="AD57" s="835" t="s">
        <v>1080</v>
      </c>
      <c r="AE57" s="831"/>
      <c r="AF57" s="865"/>
      <c r="AG57" s="864"/>
      <c r="AH57" s="865"/>
      <c r="AI57" s="865"/>
      <c r="AJ57" s="870"/>
      <c r="AK57" s="870"/>
      <c r="AL57" s="870"/>
      <c r="AM57" s="865"/>
      <c r="AN57" s="866"/>
      <c r="AO57" s="866"/>
      <c r="AP57" s="866"/>
      <c r="AQ57" s="866"/>
      <c r="AR57" s="866"/>
      <c r="AS57" s="866"/>
      <c r="AT57" s="77"/>
    </row>
    <row r="58" spans="1:46" ht="18.75">
      <c r="A58" s="3348"/>
      <c r="B58" s="840">
        <v>48</v>
      </c>
      <c r="C58" s="6" t="s">
        <v>973</v>
      </c>
      <c r="D58" s="835">
        <v>10</v>
      </c>
      <c r="E58" s="839">
        <v>10</v>
      </c>
      <c r="F58" s="837">
        <f t="shared" si="8"/>
        <v>100</v>
      </c>
      <c r="G58" s="836">
        <f t="shared" si="10"/>
        <v>0.1</v>
      </c>
      <c r="H58" s="3348"/>
      <c r="I58" s="840">
        <v>102</v>
      </c>
      <c r="J58" s="6" t="s">
        <v>974</v>
      </c>
      <c r="K58" s="835">
        <v>80</v>
      </c>
      <c r="L58" s="839">
        <v>10</v>
      </c>
      <c r="M58" s="837">
        <f t="shared" si="5"/>
        <v>800</v>
      </c>
      <c r="N58" s="836">
        <f t="shared" si="2"/>
        <v>0.8</v>
      </c>
      <c r="O58" s="3348"/>
      <c r="P58" s="840">
        <v>161</v>
      </c>
      <c r="Q58" s="6" t="s">
        <v>975</v>
      </c>
      <c r="R58" s="835">
        <v>6200</v>
      </c>
      <c r="S58" s="839">
        <v>10</v>
      </c>
      <c r="T58" s="837">
        <f t="shared" si="7"/>
        <v>62000</v>
      </c>
      <c r="U58" s="838">
        <f t="shared" si="9"/>
        <v>62</v>
      </c>
      <c r="V58" s="3348"/>
      <c r="X58" s="6" t="s">
        <v>1157</v>
      </c>
      <c r="Y58" s="839" t="s">
        <v>1021</v>
      </c>
      <c r="Z58" s="835" t="s">
        <v>1060</v>
      </c>
      <c r="AA58" s="831"/>
      <c r="AB58" s="6" t="s">
        <v>1158</v>
      </c>
      <c r="AC58" s="839" t="s">
        <v>1159</v>
      </c>
      <c r="AD58" s="847" t="s">
        <v>1160</v>
      </c>
      <c r="AE58" s="831"/>
      <c r="AF58" s="865"/>
      <c r="AG58" s="864" t="s">
        <v>1320</v>
      </c>
      <c r="AH58" s="865"/>
      <c r="AI58" s="865"/>
      <c r="AJ58" s="870"/>
      <c r="AK58" s="870"/>
      <c r="AL58" s="870"/>
      <c r="AM58" s="865"/>
      <c r="AN58" s="866"/>
      <c r="AO58" s="866"/>
      <c r="AP58" s="866"/>
      <c r="AQ58" s="866"/>
      <c r="AR58" s="866"/>
      <c r="AS58" s="866"/>
      <c r="AT58" s="77"/>
    </row>
    <row r="59" spans="1:46" ht="18.75">
      <c r="A59" s="3348"/>
      <c r="B59" s="840">
        <v>49</v>
      </c>
      <c r="C59" s="6" t="s">
        <v>976</v>
      </c>
      <c r="D59" s="835">
        <v>35</v>
      </c>
      <c r="E59" s="839">
        <v>10</v>
      </c>
      <c r="F59" s="837">
        <f t="shared" si="8"/>
        <v>350</v>
      </c>
      <c r="G59" s="836">
        <f t="shared" si="10"/>
        <v>0.35</v>
      </c>
      <c r="H59" s="3348"/>
      <c r="I59" s="840">
        <v>103</v>
      </c>
      <c r="J59" s="6" t="s">
        <v>977</v>
      </c>
      <c r="K59" s="835">
        <v>225</v>
      </c>
      <c r="L59" s="839">
        <v>10</v>
      </c>
      <c r="M59" s="837">
        <f t="shared" si="5"/>
        <v>2250</v>
      </c>
      <c r="N59" s="836">
        <f t="shared" si="2"/>
        <v>2.25</v>
      </c>
      <c r="O59" s="3348"/>
      <c r="P59" s="840"/>
      <c r="Q59" s="6"/>
      <c r="R59" s="835"/>
      <c r="S59" s="839"/>
      <c r="T59" s="837"/>
      <c r="U59" s="838"/>
      <c r="V59" s="3348"/>
      <c r="X59" s="6" t="s">
        <v>1161</v>
      </c>
      <c r="Y59" s="839" t="s">
        <v>1162</v>
      </c>
      <c r="Z59" s="835" t="s">
        <v>1051</v>
      </c>
      <c r="AA59" s="831"/>
      <c r="AB59" s="6" t="s">
        <v>1163</v>
      </c>
      <c r="AC59" s="839" t="s">
        <v>1018</v>
      </c>
      <c r="AD59" s="835" t="s">
        <v>1012</v>
      </c>
      <c r="AE59" s="831"/>
      <c r="AF59" s="865"/>
      <c r="AG59" s="864"/>
      <c r="AH59" s="865"/>
      <c r="AI59" s="865"/>
      <c r="AJ59" s="870"/>
      <c r="AK59" s="870"/>
      <c r="AL59" s="870"/>
      <c r="AM59" s="865"/>
      <c r="AN59" s="866"/>
      <c r="AO59" s="866"/>
      <c r="AP59" s="866"/>
      <c r="AQ59" s="866"/>
      <c r="AR59" s="866"/>
      <c r="AS59" s="866"/>
      <c r="AT59" s="77"/>
    </row>
    <row r="60" spans="1:46" ht="20.25">
      <c r="A60" s="3348"/>
      <c r="B60" s="840"/>
      <c r="C60" s="827" t="s">
        <v>357</v>
      </c>
      <c r="D60" s="835">
        <v>0</v>
      </c>
      <c r="E60" s="839"/>
      <c r="F60" s="837">
        <f t="shared" si="8"/>
        <v>0</v>
      </c>
      <c r="G60" s="836">
        <f t="shared" si="10"/>
        <v>0</v>
      </c>
      <c r="H60" s="3348"/>
      <c r="I60" s="840">
        <v>104</v>
      </c>
      <c r="J60" s="6" t="s">
        <v>978</v>
      </c>
      <c r="K60" s="835">
        <v>225</v>
      </c>
      <c r="L60" s="839">
        <v>10</v>
      </c>
      <c r="M60" s="837">
        <f t="shared" si="5"/>
        <v>2250</v>
      </c>
      <c r="N60" s="836">
        <f t="shared" si="2"/>
        <v>2.25</v>
      </c>
      <c r="O60" s="3348"/>
      <c r="P60" s="840"/>
      <c r="Q60" s="6"/>
      <c r="R60" s="835"/>
      <c r="S60" s="839"/>
      <c r="T60" s="837"/>
      <c r="U60" s="838"/>
      <c r="V60" s="3348"/>
      <c r="X60" s="6" t="s">
        <v>1164</v>
      </c>
      <c r="Y60" s="839" t="s">
        <v>1045</v>
      </c>
      <c r="Z60" s="835" t="s">
        <v>1009</v>
      </c>
      <c r="AA60" s="831"/>
      <c r="AB60" s="6" t="s">
        <v>1165</v>
      </c>
      <c r="AC60" s="839" t="s">
        <v>1166</v>
      </c>
      <c r="AD60" s="835" t="s">
        <v>1167</v>
      </c>
      <c r="AE60" s="831"/>
      <c r="AF60" s="865"/>
      <c r="AG60" s="864" t="s">
        <v>1321</v>
      </c>
      <c r="AH60" s="865"/>
      <c r="AI60" s="865"/>
      <c r="AJ60" s="870"/>
      <c r="AK60" s="870"/>
      <c r="AL60" s="870"/>
      <c r="AM60" s="865"/>
      <c r="AN60" s="866"/>
      <c r="AO60" s="866"/>
      <c r="AP60" s="866"/>
      <c r="AQ60" s="866"/>
      <c r="AR60" s="866"/>
      <c r="AS60" s="866"/>
      <c r="AT60" s="77"/>
    </row>
    <row r="61" spans="1:46" ht="18.75">
      <c r="A61" s="3348"/>
      <c r="B61" s="840">
        <v>50</v>
      </c>
      <c r="C61" s="6" t="s">
        <v>979</v>
      </c>
      <c r="D61" s="835">
        <v>3</v>
      </c>
      <c r="E61" s="839">
        <v>10</v>
      </c>
      <c r="F61" s="837">
        <f t="shared" si="8"/>
        <v>30</v>
      </c>
      <c r="G61" s="836">
        <f t="shared" si="10"/>
        <v>0.03</v>
      </c>
      <c r="H61" s="3348"/>
      <c r="I61" s="840">
        <v>105</v>
      </c>
      <c r="J61" s="6" t="s">
        <v>980</v>
      </c>
      <c r="K61" s="835">
        <v>750</v>
      </c>
      <c r="L61" s="839">
        <v>10</v>
      </c>
      <c r="M61" s="837">
        <f t="shared" si="5"/>
        <v>7500</v>
      </c>
      <c r="N61" s="836">
        <f t="shared" si="2"/>
        <v>7.5</v>
      </c>
      <c r="O61" s="3348"/>
      <c r="P61" s="840"/>
      <c r="Q61" s="6"/>
      <c r="R61" s="835"/>
      <c r="S61" s="839"/>
      <c r="T61" s="837"/>
      <c r="U61" s="838"/>
      <c r="V61" s="3348"/>
      <c r="X61" s="6" t="s">
        <v>1168</v>
      </c>
      <c r="Y61" s="839" t="s">
        <v>1021</v>
      </c>
      <c r="Z61" s="835" t="s">
        <v>1022</v>
      </c>
      <c r="AA61" s="831"/>
      <c r="AB61" s="6" t="s">
        <v>1169</v>
      </c>
      <c r="AC61" s="839">
        <v>1</v>
      </c>
      <c r="AD61" s="835" t="s">
        <v>1033</v>
      </c>
      <c r="AE61" s="831"/>
      <c r="AF61" s="865"/>
      <c r="AG61" s="864"/>
      <c r="AH61" s="865"/>
      <c r="AI61" s="865"/>
      <c r="AJ61" s="870"/>
      <c r="AK61" s="870"/>
      <c r="AL61" s="870"/>
      <c r="AM61" s="865"/>
      <c r="AN61" s="866"/>
      <c r="AO61" s="866"/>
      <c r="AP61" s="866"/>
      <c r="AQ61" s="866"/>
      <c r="AR61" s="866"/>
      <c r="AS61" s="866"/>
      <c r="AT61" s="77"/>
    </row>
    <row r="62" spans="1:46" ht="18.75">
      <c r="A62" s="3348"/>
      <c r="B62" s="840">
        <v>51</v>
      </c>
      <c r="C62" s="6" t="s">
        <v>981</v>
      </c>
      <c r="D62" s="835">
        <v>8</v>
      </c>
      <c r="E62" s="839">
        <v>10</v>
      </c>
      <c r="F62" s="837">
        <f t="shared" si="8"/>
        <v>80</v>
      </c>
      <c r="G62" s="836">
        <f t="shared" si="10"/>
        <v>0.08</v>
      </c>
      <c r="H62" s="3348"/>
      <c r="I62" s="840">
        <v>106</v>
      </c>
      <c r="J62" s="6" t="s">
        <v>982</v>
      </c>
      <c r="K62" s="835">
        <v>8.6</v>
      </c>
      <c r="L62" s="839">
        <v>10</v>
      </c>
      <c r="M62" s="837">
        <f t="shared" si="5"/>
        <v>86</v>
      </c>
      <c r="N62" s="836">
        <f t="shared" si="2"/>
        <v>8.5999999999999993E-2</v>
      </c>
      <c r="O62" s="3348"/>
      <c r="P62" s="840"/>
      <c r="Q62" s="6"/>
      <c r="R62" s="835"/>
      <c r="S62" s="839"/>
      <c r="T62" s="837"/>
      <c r="U62" s="838"/>
      <c r="V62" s="3348"/>
      <c r="X62" s="6" t="s">
        <v>1170</v>
      </c>
      <c r="Y62" s="839" t="s">
        <v>1011</v>
      </c>
      <c r="Z62" s="835" t="s">
        <v>1051</v>
      </c>
      <c r="AA62" s="831"/>
      <c r="AB62" s="6" t="s">
        <v>1171</v>
      </c>
      <c r="AC62" s="839" t="s">
        <v>1008</v>
      </c>
      <c r="AD62" s="835" t="s">
        <v>1172</v>
      </c>
      <c r="AE62" s="831"/>
      <c r="AF62" s="865"/>
      <c r="AG62" s="864" t="s">
        <v>1438</v>
      </c>
      <c r="AH62" s="865"/>
      <c r="AI62" s="865"/>
      <c r="AJ62" s="870"/>
      <c r="AK62" s="870"/>
      <c r="AL62" s="870"/>
      <c r="AM62" s="865"/>
      <c r="AN62" s="866"/>
      <c r="AO62" s="866"/>
      <c r="AP62" s="866"/>
      <c r="AQ62" s="866"/>
      <c r="AR62" s="866"/>
      <c r="AS62" s="866"/>
      <c r="AT62" s="77"/>
    </row>
    <row r="63" spans="1:46" ht="18.75">
      <c r="A63" s="3348"/>
      <c r="B63" s="840">
        <v>52</v>
      </c>
      <c r="C63" s="6" t="s">
        <v>983</v>
      </c>
      <c r="D63" s="835">
        <v>100</v>
      </c>
      <c r="E63" s="839">
        <v>10</v>
      </c>
      <c r="F63" s="837">
        <f t="shared" si="8"/>
        <v>1000</v>
      </c>
      <c r="G63" s="836">
        <f t="shared" si="10"/>
        <v>1</v>
      </c>
      <c r="H63" s="3348"/>
      <c r="I63" s="840">
        <v>107</v>
      </c>
      <c r="J63" s="6" t="s">
        <v>984</v>
      </c>
      <c r="K63" s="835">
        <v>11.5</v>
      </c>
      <c r="L63" s="839">
        <v>10</v>
      </c>
      <c r="M63" s="837">
        <f t="shared" si="5"/>
        <v>115</v>
      </c>
      <c r="N63" s="836">
        <f t="shared" si="2"/>
        <v>0.115</v>
      </c>
      <c r="O63" s="3348"/>
      <c r="P63" s="840"/>
      <c r="Q63" s="6"/>
      <c r="R63" s="835"/>
      <c r="S63" s="839"/>
      <c r="T63" s="837"/>
      <c r="U63" s="838"/>
      <c r="V63" s="3348"/>
      <c r="X63" s="6" t="s">
        <v>1173</v>
      </c>
      <c r="Y63" s="839">
        <v>1</v>
      </c>
      <c r="Z63" s="835" t="s">
        <v>1139</v>
      </c>
      <c r="AA63" s="831"/>
      <c r="AB63" s="6" t="s">
        <v>1174</v>
      </c>
      <c r="AC63" s="839">
        <v>1</v>
      </c>
      <c r="AD63" s="835" t="s">
        <v>1175</v>
      </c>
      <c r="AE63" s="831"/>
      <c r="AF63" s="865"/>
      <c r="AG63" s="864"/>
      <c r="AH63" s="865"/>
      <c r="AI63" s="865"/>
      <c r="AJ63" s="870"/>
      <c r="AK63" s="870"/>
      <c r="AL63" s="870"/>
      <c r="AM63" s="865"/>
      <c r="AN63" s="866"/>
      <c r="AO63" s="866"/>
      <c r="AP63" s="866"/>
      <c r="AQ63" s="866"/>
      <c r="AR63" s="866"/>
      <c r="AS63" s="866"/>
      <c r="AT63" s="77"/>
    </row>
    <row r="64" spans="1:46" ht="18.75">
      <c r="A64" s="3348"/>
      <c r="B64" s="840">
        <v>53</v>
      </c>
      <c r="C64" s="6" t="s">
        <v>985</v>
      </c>
      <c r="D64" s="835">
        <v>100</v>
      </c>
      <c r="E64" s="839">
        <v>10</v>
      </c>
      <c r="F64" s="837">
        <f t="shared" si="8"/>
        <v>1000</v>
      </c>
      <c r="G64" s="836">
        <f t="shared" si="10"/>
        <v>1</v>
      </c>
      <c r="H64" s="3348"/>
      <c r="I64" s="840">
        <v>108</v>
      </c>
      <c r="J64" s="6" t="s">
        <v>986</v>
      </c>
      <c r="K64" s="835">
        <v>3.75</v>
      </c>
      <c r="L64" s="839">
        <v>10</v>
      </c>
      <c r="M64" s="837">
        <f t="shared" si="5"/>
        <v>37.5</v>
      </c>
      <c r="N64" s="836">
        <f t="shared" si="2"/>
        <v>3.7499999999999999E-2</v>
      </c>
      <c r="O64" s="3348"/>
      <c r="P64" s="840"/>
      <c r="Q64" s="6"/>
      <c r="R64" s="835"/>
      <c r="S64" s="839"/>
      <c r="T64" s="837"/>
      <c r="U64" s="838"/>
      <c r="V64" s="3348"/>
      <c r="X64" s="6" t="s">
        <v>1176</v>
      </c>
      <c r="Y64" s="839" t="s">
        <v>1008</v>
      </c>
      <c r="Z64" s="835" t="s">
        <v>1035</v>
      </c>
      <c r="AA64" s="831"/>
      <c r="AB64" s="6" t="s">
        <v>1177</v>
      </c>
      <c r="AC64" s="839" t="s">
        <v>1086</v>
      </c>
      <c r="AD64" s="835" t="s">
        <v>1178</v>
      </c>
      <c r="AE64" s="831"/>
      <c r="AF64" s="865"/>
      <c r="AG64" s="864" t="s">
        <v>1322</v>
      </c>
      <c r="AH64" s="865"/>
      <c r="AI64" s="865"/>
      <c r="AJ64" s="870"/>
      <c r="AK64" s="870"/>
      <c r="AL64" s="870"/>
      <c r="AM64" s="865"/>
      <c r="AN64" s="866"/>
      <c r="AO64" s="866"/>
      <c r="AP64" s="866"/>
      <c r="AQ64" s="866"/>
      <c r="AR64" s="866"/>
      <c r="AS64" s="866"/>
      <c r="AT64" s="77"/>
    </row>
    <row r="65" spans="1:46" ht="18.75">
      <c r="A65" s="3348"/>
      <c r="B65" s="840">
        <v>54</v>
      </c>
      <c r="C65" s="6" t="s">
        <v>987</v>
      </c>
      <c r="D65" s="835">
        <v>135</v>
      </c>
      <c r="E65" s="839">
        <v>10</v>
      </c>
      <c r="F65" s="837">
        <f t="shared" si="8"/>
        <v>1350</v>
      </c>
      <c r="G65" s="836">
        <f t="shared" si="10"/>
        <v>1.35</v>
      </c>
      <c r="H65" s="3348"/>
      <c r="I65" s="840">
        <v>109</v>
      </c>
      <c r="J65" s="6" t="s">
        <v>988</v>
      </c>
      <c r="K65" s="835">
        <v>170</v>
      </c>
      <c r="L65" s="839">
        <v>10</v>
      </c>
      <c r="M65" s="837">
        <f t="shared" si="5"/>
        <v>1700</v>
      </c>
      <c r="N65" s="836">
        <f t="shared" si="2"/>
        <v>1.7</v>
      </c>
      <c r="O65" s="3348"/>
      <c r="P65" s="840"/>
      <c r="Q65" s="6"/>
      <c r="R65" s="835"/>
      <c r="S65" s="839"/>
      <c r="T65" s="837"/>
      <c r="U65" s="838"/>
      <c r="V65" s="3348"/>
      <c r="X65" s="831"/>
      <c r="Y65" s="839"/>
      <c r="Z65" s="831"/>
      <c r="AA65" s="831"/>
      <c r="AB65" s="6" t="s">
        <v>1179</v>
      </c>
      <c r="AC65" s="839" t="s">
        <v>1180</v>
      </c>
      <c r="AD65" s="835" t="s">
        <v>1181</v>
      </c>
      <c r="AE65" s="831"/>
      <c r="AF65" s="865"/>
      <c r="AG65" s="864"/>
      <c r="AH65" s="865"/>
      <c r="AI65" s="865"/>
      <c r="AJ65" s="870"/>
      <c r="AK65" s="870"/>
      <c r="AL65" s="870"/>
      <c r="AM65" s="865"/>
      <c r="AN65" s="866"/>
      <c r="AO65" s="866"/>
      <c r="AP65" s="866"/>
      <c r="AQ65" s="866"/>
      <c r="AR65" s="866"/>
      <c r="AS65" s="866"/>
      <c r="AT65" s="77"/>
    </row>
    <row r="66" spans="1:46" ht="18.75">
      <c r="A66" s="3348"/>
      <c r="B66" s="840">
        <v>55</v>
      </c>
      <c r="C66" s="6" t="s">
        <v>989</v>
      </c>
      <c r="D66" s="835">
        <v>12</v>
      </c>
      <c r="E66" s="839">
        <v>10</v>
      </c>
      <c r="F66" s="837">
        <f t="shared" si="8"/>
        <v>120</v>
      </c>
      <c r="G66" s="836">
        <f t="shared" si="10"/>
        <v>0.12</v>
      </c>
      <c r="H66" s="3348"/>
      <c r="I66" s="840">
        <v>110</v>
      </c>
      <c r="J66" s="6" t="s">
        <v>990</v>
      </c>
      <c r="K66" s="835">
        <v>1000</v>
      </c>
      <c r="L66" s="839">
        <v>10</v>
      </c>
      <c r="M66" s="837">
        <f t="shared" si="5"/>
        <v>10000</v>
      </c>
      <c r="N66" s="838">
        <f t="shared" si="2"/>
        <v>10</v>
      </c>
      <c r="O66" s="3348"/>
      <c r="P66" s="840"/>
      <c r="Q66" s="6"/>
      <c r="R66" s="835"/>
      <c r="S66" s="839"/>
      <c r="T66" s="837"/>
      <c r="U66" s="838"/>
      <c r="V66" s="3348"/>
      <c r="X66" s="832"/>
      <c r="Y66" s="839"/>
      <c r="Z66" s="831"/>
      <c r="AA66" s="831"/>
      <c r="AB66" s="831"/>
      <c r="AC66" s="831"/>
      <c r="AD66" s="831"/>
      <c r="AE66" s="831"/>
      <c r="AF66" s="865"/>
      <c r="AG66" s="864" t="s">
        <v>1323</v>
      </c>
      <c r="AH66" s="865"/>
      <c r="AI66" s="865"/>
      <c r="AJ66" s="870"/>
      <c r="AK66" s="870"/>
      <c r="AL66" s="870"/>
      <c r="AM66" s="865"/>
      <c r="AN66" s="866"/>
      <c r="AO66" s="866"/>
      <c r="AP66" s="866"/>
      <c r="AQ66" s="866"/>
      <c r="AR66" s="866"/>
      <c r="AS66" s="866"/>
      <c r="AT66" s="77"/>
    </row>
    <row r="67" spans="1:46" ht="18.75">
      <c r="A67" s="3348"/>
      <c r="B67" s="840"/>
      <c r="C67" s="6"/>
      <c r="D67" s="835"/>
      <c r="E67" s="839"/>
      <c r="F67" s="837"/>
      <c r="G67" s="836"/>
      <c r="H67" s="3348"/>
      <c r="I67" s="840">
        <v>111</v>
      </c>
      <c r="J67" s="6" t="s">
        <v>991</v>
      </c>
      <c r="K67" s="835">
        <v>1500</v>
      </c>
      <c r="L67" s="839">
        <v>10</v>
      </c>
      <c r="M67" s="837">
        <f t="shared" si="5"/>
        <v>15000</v>
      </c>
      <c r="N67" s="838">
        <f t="shared" si="2"/>
        <v>15</v>
      </c>
      <c r="O67" s="3348"/>
      <c r="P67" s="840"/>
      <c r="Q67" s="6"/>
      <c r="R67" s="835"/>
      <c r="S67" s="839"/>
      <c r="T67" s="837"/>
      <c r="U67" s="838"/>
      <c r="V67" s="3348"/>
      <c r="X67" s="848" t="s">
        <v>1395</v>
      </c>
      <c r="Y67" s="848" t="s">
        <v>1396</v>
      </c>
      <c r="Z67" s="848" t="s">
        <v>66</v>
      </c>
      <c r="AA67" s="831"/>
      <c r="AB67" s="848" t="s">
        <v>1395</v>
      </c>
      <c r="AC67" s="848" t="s">
        <v>1396</v>
      </c>
      <c r="AD67" s="848" t="s">
        <v>66</v>
      </c>
      <c r="AE67" s="831"/>
      <c r="AF67" s="865"/>
      <c r="AG67" s="864" t="s">
        <v>1324</v>
      </c>
      <c r="AH67" s="865"/>
      <c r="AI67" s="865"/>
      <c r="AJ67" s="870"/>
      <c r="AK67" s="870"/>
      <c r="AL67" s="870"/>
      <c r="AM67" s="865"/>
      <c r="AN67" s="866"/>
      <c r="AO67" s="866"/>
      <c r="AP67" s="866"/>
      <c r="AQ67" s="866"/>
      <c r="AR67" s="866"/>
      <c r="AS67" s="866"/>
      <c r="AT67" s="77"/>
    </row>
    <row r="68" spans="1:46" ht="18.75">
      <c r="A68" s="3348"/>
      <c r="B68" s="840"/>
      <c r="C68" s="6"/>
      <c r="D68" s="835"/>
      <c r="E68" s="839"/>
      <c r="F68" s="837"/>
      <c r="G68" s="836"/>
      <c r="H68" s="3348"/>
      <c r="I68" s="840">
        <v>112</v>
      </c>
      <c r="J68" s="6" t="s">
        <v>992</v>
      </c>
      <c r="K68" s="835">
        <v>15</v>
      </c>
      <c r="L68" s="839">
        <v>10</v>
      </c>
      <c r="M68" s="837">
        <f t="shared" si="5"/>
        <v>150</v>
      </c>
      <c r="N68" s="836">
        <f t="shared" si="2"/>
        <v>0.15</v>
      </c>
      <c r="O68" s="3348"/>
      <c r="P68" s="840"/>
      <c r="Q68" s="6"/>
      <c r="R68" s="835"/>
      <c r="S68" s="839"/>
      <c r="T68" s="837"/>
      <c r="U68" s="838"/>
      <c r="V68" s="3348"/>
      <c r="AE68" s="831"/>
      <c r="AF68" s="865"/>
      <c r="AG68" s="864"/>
      <c r="AH68" s="865"/>
      <c r="AI68" s="865"/>
      <c r="AJ68" s="870"/>
      <c r="AK68" s="870"/>
      <c r="AL68" s="870"/>
      <c r="AM68" s="865"/>
      <c r="AN68" s="866"/>
      <c r="AO68" s="866"/>
      <c r="AP68" s="866"/>
      <c r="AQ68" s="866"/>
      <c r="AR68" s="866"/>
      <c r="AS68" s="866"/>
      <c r="AT68" s="77"/>
    </row>
    <row r="69" spans="1:46" ht="18.75">
      <c r="X69" s="6" t="s">
        <v>1182</v>
      </c>
      <c r="Y69" s="839">
        <v>1</v>
      </c>
      <c r="Z69" s="835" t="s">
        <v>1183</v>
      </c>
      <c r="AA69" s="831"/>
      <c r="AB69" s="6" t="s">
        <v>1184</v>
      </c>
      <c r="AC69" s="839" t="s">
        <v>1045</v>
      </c>
      <c r="AD69" s="835" t="s">
        <v>1175</v>
      </c>
      <c r="AE69" s="831"/>
      <c r="AF69" s="865"/>
      <c r="AG69" s="864" t="s">
        <v>1325</v>
      </c>
      <c r="AH69" s="865"/>
      <c r="AI69" s="865"/>
      <c r="AJ69" s="870"/>
      <c r="AK69" s="870"/>
      <c r="AL69" s="870"/>
      <c r="AM69" s="865"/>
      <c r="AN69" s="866"/>
      <c r="AO69" s="866"/>
      <c r="AP69" s="866"/>
      <c r="AQ69" s="866"/>
      <c r="AR69" s="866"/>
      <c r="AS69" s="866"/>
      <c r="AT69" s="77"/>
    </row>
    <row r="70" spans="1:46" ht="18.75">
      <c r="X70" s="6"/>
      <c r="Y70" s="839"/>
      <c r="Z70" s="835"/>
      <c r="AA70" s="831"/>
      <c r="AB70" s="6" t="s">
        <v>1185</v>
      </c>
      <c r="AC70" s="839">
        <v>1</v>
      </c>
      <c r="AD70" s="835" t="s">
        <v>1186</v>
      </c>
      <c r="AE70" s="831"/>
      <c r="AF70" s="865"/>
      <c r="AG70" s="864" t="s">
        <v>1326</v>
      </c>
      <c r="AH70" s="865"/>
      <c r="AI70" s="865"/>
      <c r="AJ70" s="870"/>
      <c r="AK70" s="870"/>
      <c r="AL70" s="870"/>
      <c r="AM70" s="865"/>
      <c r="AN70" s="866"/>
      <c r="AO70" s="866"/>
      <c r="AP70" s="866"/>
      <c r="AQ70" s="866"/>
      <c r="AR70" s="866"/>
      <c r="AS70" s="866"/>
      <c r="AT70" s="77"/>
    </row>
    <row r="71" spans="1:46" ht="15.75">
      <c r="X71" s="6" t="s">
        <v>1187</v>
      </c>
      <c r="Y71" s="839" t="s">
        <v>1045</v>
      </c>
      <c r="Z71" s="835" t="s">
        <v>1066</v>
      </c>
      <c r="AA71" s="831"/>
      <c r="AB71" s="6" t="s">
        <v>1188</v>
      </c>
      <c r="AC71" s="839" t="s">
        <v>1021</v>
      </c>
      <c r="AD71" s="835" t="s">
        <v>1060</v>
      </c>
      <c r="AE71" s="831"/>
      <c r="AF71" s="865"/>
      <c r="AG71" s="865"/>
      <c r="AH71" s="865"/>
      <c r="AI71" s="865"/>
      <c r="AJ71" s="870"/>
      <c r="AK71" s="870"/>
      <c r="AL71" s="870"/>
      <c r="AM71" s="865"/>
      <c r="AN71" s="866"/>
      <c r="AO71" s="866"/>
      <c r="AP71" s="866"/>
      <c r="AQ71" s="866"/>
      <c r="AR71" s="866"/>
      <c r="AS71" s="866"/>
      <c r="AT71" s="77"/>
    </row>
    <row r="72" spans="1:46" ht="15.75">
      <c r="X72" s="6" t="s">
        <v>1189</v>
      </c>
      <c r="Y72" s="839" t="s">
        <v>1024</v>
      </c>
      <c r="Z72" s="835" t="s">
        <v>1027</v>
      </c>
      <c r="AA72" s="831"/>
      <c r="AB72" s="6" t="s">
        <v>1190</v>
      </c>
      <c r="AC72" s="839" t="s">
        <v>1086</v>
      </c>
      <c r="AD72" s="835" t="s">
        <v>1191</v>
      </c>
      <c r="AE72" s="831"/>
      <c r="AF72" s="865"/>
      <c r="AG72" s="865"/>
      <c r="AH72" s="865"/>
      <c r="AI72" s="865"/>
      <c r="AJ72" s="865"/>
      <c r="AK72" s="865"/>
      <c r="AL72" s="865"/>
      <c r="AM72" s="865"/>
      <c r="AN72" s="866"/>
      <c r="AO72" s="866"/>
      <c r="AP72" s="866"/>
      <c r="AQ72" s="866"/>
      <c r="AR72" s="866"/>
      <c r="AS72" s="866"/>
      <c r="AT72" s="77"/>
    </row>
    <row r="73" spans="1:46" ht="16.5" thickBot="1">
      <c r="X73" s="6"/>
      <c r="Y73" s="839"/>
      <c r="Z73" s="835"/>
      <c r="AA73" s="831"/>
      <c r="AB73" s="6" t="s">
        <v>1192</v>
      </c>
      <c r="AC73" s="839" t="s">
        <v>1086</v>
      </c>
      <c r="AD73" s="835" t="s">
        <v>1193</v>
      </c>
      <c r="AE73" s="831"/>
      <c r="AF73" s="871" t="s">
        <v>1437</v>
      </c>
      <c r="AG73" s="865"/>
      <c r="AH73" s="865"/>
      <c r="AI73" s="865"/>
      <c r="AJ73" s="865"/>
      <c r="AK73" s="865"/>
      <c r="AL73" s="865"/>
      <c r="AM73" s="865"/>
      <c r="AN73" s="866"/>
      <c r="AO73" s="866"/>
      <c r="AP73" s="866"/>
      <c r="AQ73" s="866"/>
      <c r="AR73" s="866"/>
      <c r="AS73" s="866"/>
      <c r="AT73" s="77"/>
    </row>
    <row r="74" spans="1:46" ht="16.5" customHeight="1" thickTop="1">
      <c r="X74" s="6" t="s">
        <v>1194</v>
      </c>
      <c r="Y74" s="839" t="s">
        <v>1021</v>
      </c>
      <c r="Z74" s="835" t="s">
        <v>1060</v>
      </c>
      <c r="AA74" s="831"/>
      <c r="AB74" s="6" t="s">
        <v>1195</v>
      </c>
      <c r="AC74" s="839" t="s">
        <v>1086</v>
      </c>
      <c r="AD74" s="835" t="s">
        <v>1016</v>
      </c>
      <c r="AE74" s="831"/>
      <c r="AF74" s="3341" t="s">
        <v>1327</v>
      </c>
      <c r="AG74" s="3343" t="s">
        <v>1328</v>
      </c>
      <c r="AH74" s="3343"/>
      <c r="AI74" s="3343"/>
      <c r="AJ74" s="3344" t="s">
        <v>1329</v>
      </c>
      <c r="AK74" s="3344"/>
      <c r="AL74" s="3344"/>
      <c r="AM74" s="3345"/>
      <c r="AN74" s="866"/>
      <c r="AO74" s="866"/>
      <c r="AP74" s="866"/>
      <c r="AQ74" s="866"/>
      <c r="AR74" s="866"/>
      <c r="AS74" s="866"/>
      <c r="AT74" s="77"/>
    </row>
    <row r="75" spans="1:46" ht="18">
      <c r="X75" s="6" t="s">
        <v>1196</v>
      </c>
      <c r="Y75" s="839" t="s">
        <v>1021</v>
      </c>
      <c r="Z75" s="835" t="s">
        <v>1060</v>
      </c>
      <c r="AA75" s="831"/>
      <c r="AB75" s="6" t="s">
        <v>1197</v>
      </c>
      <c r="AC75" s="839" t="s">
        <v>1198</v>
      </c>
      <c r="AD75" s="835" t="s">
        <v>1199</v>
      </c>
      <c r="AE75" s="831"/>
      <c r="AF75" s="3342"/>
      <c r="AG75" s="850" t="s">
        <v>1330</v>
      </c>
      <c r="AH75" s="850" t="s">
        <v>1331</v>
      </c>
      <c r="AI75" s="850" t="s">
        <v>1332</v>
      </c>
      <c r="AJ75" s="859" t="s">
        <v>1400</v>
      </c>
      <c r="AK75" s="850" t="s">
        <v>1333</v>
      </c>
      <c r="AL75" s="850" t="s">
        <v>1334</v>
      </c>
      <c r="AM75" s="852" t="s">
        <v>1335</v>
      </c>
      <c r="AN75" s="866"/>
      <c r="AO75" s="866"/>
      <c r="AP75" s="866"/>
      <c r="AQ75" s="866"/>
      <c r="AR75" s="866"/>
      <c r="AS75" s="866"/>
      <c r="AT75" s="77"/>
    </row>
    <row r="76" spans="1:46" ht="18.75">
      <c r="X76" s="6" t="s">
        <v>1200</v>
      </c>
      <c r="Y76" s="839">
        <v>1</v>
      </c>
      <c r="Z76" s="835" t="s">
        <v>1014</v>
      </c>
      <c r="AA76" s="831"/>
      <c r="AB76" s="6"/>
      <c r="AC76" s="839"/>
      <c r="AD76" s="835"/>
      <c r="AE76" s="831"/>
      <c r="AF76" s="856" t="s">
        <v>1336</v>
      </c>
      <c r="AG76" s="851"/>
      <c r="AH76" s="851"/>
      <c r="AI76" s="851"/>
      <c r="AJ76" s="860"/>
      <c r="AK76" s="851"/>
      <c r="AL76" s="851"/>
      <c r="AM76" s="853"/>
      <c r="AN76" s="866"/>
      <c r="AO76" s="866"/>
      <c r="AP76" s="866"/>
      <c r="AQ76" s="866"/>
      <c r="AR76" s="866"/>
      <c r="AS76" s="866"/>
      <c r="AT76" s="77"/>
    </row>
    <row r="77" spans="1:46" ht="15.75">
      <c r="X77" s="6" t="s">
        <v>1201</v>
      </c>
      <c r="Y77" s="839" t="s">
        <v>1050</v>
      </c>
      <c r="Z77" s="835" t="s">
        <v>1078</v>
      </c>
      <c r="AA77" s="831"/>
      <c r="AB77" s="6" t="s">
        <v>1202</v>
      </c>
      <c r="AC77" s="839" t="s">
        <v>1024</v>
      </c>
      <c r="AD77" s="835" t="s">
        <v>1183</v>
      </c>
      <c r="AE77" s="831"/>
      <c r="AF77" s="857" t="s">
        <v>1337</v>
      </c>
      <c r="AG77" s="851" t="s">
        <v>1338</v>
      </c>
      <c r="AH77" s="851">
        <v>32</v>
      </c>
      <c r="AI77" s="851" t="s">
        <v>1339</v>
      </c>
      <c r="AJ77" s="860" t="s">
        <v>1340</v>
      </c>
      <c r="AK77" s="851" t="s">
        <v>1341</v>
      </c>
      <c r="AL77" s="851" t="s">
        <v>1436</v>
      </c>
      <c r="AM77" s="853" t="s">
        <v>1342</v>
      </c>
      <c r="AN77" s="866"/>
      <c r="AO77" s="866"/>
      <c r="AP77" s="866"/>
      <c r="AQ77" s="866"/>
      <c r="AR77" s="866"/>
      <c r="AS77" s="866"/>
      <c r="AT77" s="77"/>
    </row>
    <row r="78" spans="1:46" ht="15.75">
      <c r="X78" s="6" t="s">
        <v>1203</v>
      </c>
      <c r="Y78" s="839" t="s">
        <v>1045</v>
      </c>
      <c r="Z78" s="835" t="s">
        <v>1054</v>
      </c>
      <c r="AA78" s="831"/>
      <c r="AB78" s="6" t="s">
        <v>1204</v>
      </c>
      <c r="AC78" s="839">
        <v>1</v>
      </c>
      <c r="AD78" s="835" t="s">
        <v>1100</v>
      </c>
      <c r="AE78" s="831"/>
      <c r="AF78" s="857" t="s">
        <v>1343</v>
      </c>
      <c r="AG78" s="851" t="s">
        <v>1344</v>
      </c>
      <c r="AH78" s="851">
        <v>33</v>
      </c>
      <c r="AI78" s="851" t="s">
        <v>1339</v>
      </c>
      <c r="AJ78" s="860" t="s">
        <v>1345</v>
      </c>
      <c r="AK78" s="851" t="s">
        <v>1345</v>
      </c>
      <c r="AL78" s="851" t="s">
        <v>1436</v>
      </c>
      <c r="AM78" s="853" t="s">
        <v>1342</v>
      </c>
      <c r="AN78" s="866"/>
      <c r="AO78" s="866"/>
      <c r="AP78" s="866"/>
      <c r="AQ78" s="866"/>
      <c r="AR78" s="866"/>
      <c r="AS78" s="866"/>
      <c r="AT78" s="77"/>
    </row>
    <row r="79" spans="1:46" ht="15.75">
      <c r="X79" s="6" t="s">
        <v>1205</v>
      </c>
      <c r="Y79" s="839" t="s">
        <v>1102</v>
      </c>
      <c r="Z79" s="835" t="s">
        <v>1033</v>
      </c>
      <c r="AA79" s="831"/>
      <c r="AB79" s="6" t="s">
        <v>837</v>
      </c>
      <c r="AC79" s="839" t="s">
        <v>1045</v>
      </c>
      <c r="AD79" s="835" t="s">
        <v>1123</v>
      </c>
      <c r="AE79" s="831"/>
      <c r="AF79" s="857" t="s">
        <v>1346</v>
      </c>
      <c r="AG79" s="851" t="s">
        <v>1347</v>
      </c>
      <c r="AH79" s="851">
        <v>37</v>
      </c>
      <c r="AI79" s="851" t="s">
        <v>1348</v>
      </c>
      <c r="AJ79" s="860" t="s">
        <v>1349</v>
      </c>
      <c r="AK79" s="851" t="s">
        <v>1349</v>
      </c>
      <c r="AL79" s="851" t="s">
        <v>1436</v>
      </c>
      <c r="AM79" s="853" t="s">
        <v>1342</v>
      </c>
      <c r="AN79" s="866"/>
      <c r="AO79" s="866"/>
      <c r="AP79" s="866"/>
      <c r="AQ79" s="866"/>
      <c r="AR79" s="866"/>
      <c r="AS79" s="866"/>
      <c r="AT79" s="77"/>
    </row>
    <row r="80" spans="1:46" ht="18">
      <c r="X80" s="6" t="s">
        <v>1206</v>
      </c>
      <c r="Y80" s="839" t="s">
        <v>1024</v>
      </c>
      <c r="Z80" s="835" t="s">
        <v>1080</v>
      </c>
      <c r="AA80" s="831"/>
      <c r="AB80" s="6" t="s">
        <v>1207</v>
      </c>
      <c r="AC80" s="839" t="s">
        <v>1102</v>
      </c>
      <c r="AD80" s="835" t="s">
        <v>1208</v>
      </c>
      <c r="AE80" s="831"/>
      <c r="AF80" s="857" t="s">
        <v>1350</v>
      </c>
      <c r="AG80" s="851" t="s">
        <v>1351</v>
      </c>
      <c r="AH80" s="851">
        <v>50</v>
      </c>
      <c r="AI80" s="851" t="s">
        <v>1401</v>
      </c>
      <c r="AJ80" s="860" t="s">
        <v>1352</v>
      </c>
      <c r="AK80" s="851" t="s">
        <v>1353</v>
      </c>
      <c r="AL80" s="851" t="s">
        <v>1354</v>
      </c>
      <c r="AM80" s="853" t="s">
        <v>1355</v>
      </c>
      <c r="AN80" s="866"/>
      <c r="AO80" s="866"/>
      <c r="AP80" s="866"/>
      <c r="AQ80" s="866"/>
      <c r="AR80" s="866"/>
      <c r="AS80" s="866"/>
      <c r="AT80" s="77"/>
    </row>
    <row r="81" spans="24:46" ht="18">
      <c r="X81" s="6" t="s">
        <v>1209</v>
      </c>
      <c r="Y81" s="839" t="s">
        <v>1050</v>
      </c>
      <c r="Z81" s="835" t="s">
        <v>1094</v>
      </c>
      <c r="AA81" s="831"/>
      <c r="AB81" s="6" t="s">
        <v>1210</v>
      </c>
      <c r="AC81" s="839" t="s">
        <v>1024</v>
      </c>
      <c r="AD81" s="835" t="s">
        <v>1080</v>
      </c>
      <c r="AE81" s="831"/>
      <c r="AF81" s="857" t="s">
        <v>1356</v>
      </c>
      <c r="AG81" s="851" t="s">
        <v>1402</v>
      </c>
      <c r="AH81" s="851">
        <v>65</v>
      </c>
      <c r="AI81" s="851" t="s">
        <v>1403</v>
      </c>
      <c r="AJ81" s="860" t="s">
        <v>1357</v>
      </c>
      <c r="AK81" s="851" t="s">
        <v>1358</v>
      </c>
      <c r="AL81" s="851" t="s">
        <v>1354</v>
      </c>
      <c r="AM81" s="853" t="s">
        <v>1355</v>
      </c>
      <c r="AN81" s="866"/>
      <c r="AO81" s="866"/>
      <c r="AP81" s="866"/>
      <c r="AQ81" s="866"/>
      <c r="AR81" s="866"/>
      <c r="AS81" s="866"/>
      <c r="AT81" s="77"/>
    </row>
    <row r="82" spans="24:46" ht="18">
      <c r="X82" s="6" t="s">
        <v>989</v>
      </c>
      <c r="Y82" s="839" t="s">
        <v>1008</v>
      </c>
      <c r="Z82" s="835" t="s">
        <v>1033</v>
      </c>
      <c r="AA82" s="831"/>
      <c r="AB82" s="6" t="s">
        <v>1211</v>
      </c>
      <c r="AC82" s="839" t="s">
        <v>1021</v>
      </c>
      <c r="AD82" s="835" t="s">
        <v>1033</v>
      </c>
      <c r="AE82" s="831"/>
      <c r="AF82" s="857" t="s">
        <v>1359</v>
      </c>
      <c r="AG82" s="851" t="s">
        <v>1404</v>
      </c>
      <c r="AH82" s="851">
        <v>75</v>
      </c>
      <c r="AI82" s="851" t="s">
        <v>1405</v>
      </c>
      <c r="AJ82" s="860" t="s">
        <v>1360</v>
      </c>
      <c r="AK82" s="851" t="s">
        <v>1361</v>
      </c>
      <c r="AL82" s="851" t="s">
        <v>1354</v>
      </c>
      <c r="AM82" s="853" t="s">
        <v>1355</v>
      </c>
      <c r="AN82" s="866"/>
      <c r="AO82" s="866"/>
      <c r="AP82" s="866"/>
      <c r="AQ82" s="866"/>
      <c r="AR82" s="866"/>
      <c r="AS82" s="866"/>
      <c r="AT82" s="77"/>
    </row>
    <row r="83" spans="24:46" ht="18.75">
      <c r="X83" s="6" t="s">
        <v>1212</v>
      </c>
      <c r="Y83" s="839" t="s">
        <v>1213</v>
      </c>
      <c r="Z83" s="835" t="s">
        <v>1031</v>
      </c>
      <c r="AA83" s="831"/>
      <c r="AB83" s="6" t="s">
        <v>1214</v>
      </c>
      <c r="AC83" s="839" t="s">
        <v>1215</v>
      </c>
      <c r="AD83" s="847" t="s">
        <v>1216</v>
      </c>
      <c r="AE83" s="831"/>
      <c r="AF83" s="856" t="s">
        <v>1362</v>
      </c>
      <c r="AG83" s="851"/>
      <c r="AH83" s="851"/>
      <c r="AI83" s="851"/>
      <c r="AJ83" s="860"/>
      <c r="AK83" s="851"/>
      <c r="AL83" s="851"/>
      <c r="AM83" s="853"/>
      <c r="AN83" s="866"/>
      <c r="AO83" s="866"/>
      <c r="AP83" s="866"/>
      <c r="AQ83" s="866"/>
      <c r="AR83" s="866"/>
      <c r="AS83" s="866"/>
      <c r="AT83" s="77"/>
    </row>
    <row r="84" spans="24:46" ht="18">
      <c r="X84" s="6" t="s">
        <v>1217</v>
      </c>
      <c r="Y84" s="839" t="s">
        <v>1086</v>
      </c>
      <c r="Z84" s="835" t="s">
        <v>1218</v>
      </c>
      <c r="AA84" s="831"/>
      <c r="AB84" s="6" t="s">
        <v>1219</v>
      </c>
      <c r="AC84" s="839" t="s">
        <v>1220</v>
      </c>
      <c r="AD84" s="835" t="s">
        <v>1221</v>
      </c>
      <c r="AE84" s="831"/>
      <c r="AF84" s="857" t="s">
        <v>1363</v>
      </c>
      <c r="AG84" s="851" t="s">
        <v>1406</v>
      </c>
      <c r="AH84" s="851">
        <v>60</v>
      </c>
      <c r="AI84" s="851" t="s">
        <v>1364</v>
      </c>
      <c r="AJ84" s="860" t="s">
        <v>1365</v>
      </c>
      <c r="AK84" s="851" t="s">
        <v>1357</v>
      </c>
      <c r="AL84" s="851" t="s">
        <v>1366</v>
      </c>
      <c r="AM84" s="853" t="s">
        <v>1367</v>
      </c>
      <c r="AN84" s="866"/>
      <c r="AO84" s="866"/>
      <c r="AP84" s="866"/>
      <c r="AQ84" s="866"/>
      <c r="AR84" s="866"/>
      <c r="AS84" s="866"/>
      <c r="AT84" s="77"/>
    </row>
    <row r="85" spans="24:46" ht="15.75">
      <c r="X85" s="6" t="s">
        <v>1222</v>
      </c>
      <c r="Y85" s="839" t="s">
        <v>1021</v>
      </c>
      <c r="Z85" s="835" t="s">
        <v>1027</v>
      </c>
      <c r="AA85" s="831"/>
      <c r="AB85" s="6" t="s">
        <v>1223</v>
      </c>
      <c r="AC85" s="839" t="s">
        <v>1045</v>
      </c>
      <c r="AD85" s="835" t="s">
        <v>1186</v>
      </c>
      <c r="AE85" s="831"/>
      <c r="AF85" s="857" t="s">
        <v>1368</v>
      </c>
      <c r="AG85" s="851"/>
      <c r="AH85" s="851"/>
      <c r="AI85" s="851"/>
      <c r="AJ85" s="860"/>
      <c r="AK85" s="851"/>
      <c r="AL85" s="851"/>
      <c r="AM85" s="853"/>
      <c r="AN85" s="866"/>
      <c r="AO85" s="866"/>
      <c r="AP85" s="866"/>
      <c r="AQ85" s="866"/>
      <c r="AR85" s="866"/>
      <c r="AS85" s="866"/>
      <c r="AT85" s="77"/>
    </row>
    <row r="86" spans="24:46" ht="18">
      <c r="X86" s="6" t="s">
        <v>1224</v>
      </c>
      <c r="Y86" s="839" t="s">
        <v>1225</v>
      </c>
      <c r="Z86" s="835" t="s">
        <v>1226</v>
      </c>
      <c r="AA86" s="831"/>
      <c r="AB86" s="6" t="s">
        <v>1227</v>
      </c>
      <c r="AC86" s="839" t="s">
        <v>1228</v>
      </c>
      <c r="AD86" s="835" t="s">
        <v>1229</v>
      </c>
      <c r="AE86" s="831"/>
      <c r="AF86" s="857" t="s">
        <v>1432</v>
      </c>
      <c r="AG86" s="851" t="s">
        <v>1369</v>
      </c>
      <c r="AH86" s="851">
        <v>75</v>
      </c>
      <c r="AI86" s="851" t="s">
        <v>1370</v>
      </c>
      <c r="AJ86" s="860" t="s">
        <v>1352</v>
      </c>
      <c r="AK86" s="851" t="s">
        <v>1371</v>
      </c>
      <c r="AL86" s="851" t="s">
        <v>1372</v>
      </c>
      <c r="AM86" s="853" t="s">
        <v>1373</v>
      </c>
      <c r="AN86" s="866"/>
      <c r="AO86" s="866"/>
      <c r="AP86" s="866"/>
      <c r="AQ86" s="866"/>
      <c r="AR86" s="866"/>
      <c r="AS86" s="866"/>
      <c r="AT86" s="77"/>
    </row>
    <row r="87" spans="24:46" ht="18">
      <c r="X87" s="6" t="s">
        <v>1230</v>
      </c>
      <c r="Y87" s="839" t="s">
        <v>1011</v>
      </c>
      <c r="Z87" s="835" t="s">
        <v>1033</v>
      </c>
      <c r="AA87" s="831"/>
      <c r="AB87" s="6" t="s">
        <v>1231</v>
      </c>
      <c r="AC87" s="839" t="s">
        <v>1021</v>
      </c>
      <c r="AD87" s="835" t="s">
        <v>1175</v>
      </c>
      <c r="AE87" s="831"/>
      <c r="AF87" s="857" t="s">
        <v>1433</v>
      </c>
      <c r="AG87" s="851" t="s">
        <v>1374</v>
      </c>
      <c r="AH87" s="851">
        <v>95</v>
      </c>
      <c r="AI87" s="851" t="s">
        <v>1375</v>
      </c>
      <c r="AJ87" s="860" t="s">
        <v>1360</v>
      </c>
      <c r="AK87" s="851" t="s">
        <v>1376</v>
      </c>
      <c r="AL87" s="851" t="s">
        <v>1377</v>
      </c>
      <c r="AM87" s="853" t="s">
        <v>1378</v>
      </c>
      <c r="AN87" s="866"/>
      <c r="AO87" s="866"/>
      <c r="AP87" s="866"/>
      <c r="AQ87" s="866"/>
      <c r="AR87" s="866"/>
      <c r="AS87" s="866"/>
      <c r="AT87" s="77"/>
    </row>
    <row r="88" spans="24:46" ht="18.75">
      <c r="X88" s="6"/>
      <c r="Y88" s="839"/>
      <c r="Z88" s="835"/>
      <c r="AA88" s="831"/>
      <c r="AB88" s="6"/>
      <c r="AC88" s="839"/>
      <c r="AD88" s="835"/>
      <c r="AE88" s="831"/>
      <c r="AF88" s="856" t="s">
        <v>1379</v>
      </c>
      <c r="AG88" s="851"/>
      <c r="AH88" s="851"/>
      <c r="AI88" s="851"/>
      <c r="AJ88" s="860"/>
      <c r="AK88" s="851"/>
      <c r="AL88" s="851"/>
      <c r="AM88" s="853"/>
      <c r="AN88" s="866"/>
      <c r="AO88" s="866"/>
      <c r="AP88" s="866"/>
      <c r="AQ88" s="866"/>
      <c r="AR88" s="866"/>
      <c r="AS88" s="866"/>
      <c r="AT88" s="77"/>
    </row>
    <row r="89" spans="24:46" ht="18">
      <c r="X89" s="6" t="s">
        <v>1232</v>
      </c>
      <c r="Y89" s="839" t="s">
        <v>1045</v>
      </c>
      <c r="Z89" s="835" t="s">
        <v>1186</v>
      </c>
      <c r="AA89" s="831"/>
      <c r="AB89" s="6" t="s">
        <v>1233</v>
      </c>
      <c r="AC89" s="839" t="s">
        <v>1213</v>
      </c>
      <c r="AD89" s="835" t="s">
        <v>1141</v>
      </c>
      <c r="AE89" s="831"/>
      <c r="AF89" s="857" t="s">
        <v>1363</v>
      </c>
      <c r="AG89" s="851" t="s">
        <v>1407</v>
      </c>
      <c r="AH89" s="851">
        <v>50</v>
      </c>
      <c r="AI89" s="851" t="s">
        <v>1380</v>
      </c>
      <c r="AJ89" s="860" t="s">
        <v>1365</v>
      </c>
      <c r="AK89" s="851" t="s">
        <v>1352</v>
      </c>
      <c r="AL89" s="851" t="s">
        <v>1381</v>
      </c>
      <c r="AM89" s="853" t="s">
        <v>1382</v>
      </c>
      <c r="AN89" s="866"/>
      <c r="AO89" s="866"/>
      <c r="AP89" s="866"/>
      <c r="AQ89" s="866"/>
      <c r="AR89" s="866"/>
      <c r="AS89" s="866"/>
      <c r="AT89" s="77"/>
    </row>
    <row r="90" spans="24:46" ht="18">
      <c r="X90" s="6" t="s">
        <v>1234</v>
      </c>
      <c r="Y90" s="839" t="s">
        <v>1008</v>
      </c>
      <c r="Z90" s="835" t="s">
        <v>1009</v>
      </c>
      <c r="AA90" s="831"/>
      <c r="AB90" s="6" t="s">
        <v>1235</v>
      </c>
      <c r="AC90" s="839" t="s">
        <v>1213</v>
      </c>
      <c r="AD90" s="835" t="s">
        <v>1078</v>
      </c>
      <c r="AE90" s="831"/>
      <c r="AF90" s="857" t="s">
        <v>1434</v>
      </c>
      <c r="AG90" s="851" t="s">
        <v>1373</v>
      </c>
      <c r="AH90" s="851">
        <v>80</v>
      </c>
      <c r="AI90" s="851" t="s">
        <v>1383</v>
      </c>
      <c r="AJ90" s="860" t="s">
        <v>1384</v>
      </c>
      <c r="AK90" s="851" t="s">
        <v>1384</v>
      </c>
      <c r="AL90" s="851" t="s">
        <v>1385</v>
      </c>
      <c r="AM90" s="853" t="s">
        <v>1386</v>
      </c>
      <c r="AN90" s="866"/>
      <c r="AO90" s="866"/>
      <c r="AP90" s="866"/>
      <c r="AQ90" s="866"/>
      <c r="AR90" s="866"/>
      <c r="AS90" s="866"/>
      <c r="AT90" s="77"/>
    </row>
    <row r="91" spans="24:46" ht="18">
      <c r="X91" s="6" t="s">
        <v>1236</v>
      </c>
      <c r="Y91" s="839" t="s">
        <v>1008</v>
      </c>
      <c r="Z91" s="835" t="s">
        <v>1172</v>
      </c>
      <c r="AA91" s="831"/>
      <c r="AB91" s="6" t="s">
        <v>1237</v>
      </c>
      <c r="AC91" s="839" t="s">
        <v>1213</v>
      </c>
      <c r="AD91" s="835" t="s">
        <v>1167</v>
      </c>
      <c r="AE91" s="831"/>
      <c r="AF91" s="857" t="s">
        <v>1408</v>
      </c>
      <c r="AG91" s="851" t="s">
        <v>1374</v>
      </c>
      <c r="AH91" s="851">
        <v>80</v>
      </c>
      <c r="AI91" s="851" t="s">
        <v>1383</v>
      </c>
      <c r="AJ91" s="860" t="s">
        <v>1384</v>
      </c>
      <c r="AK91" s="851" t="s">
        <v>1384</v>
      </c>
      <c r="AL91" s="851" t="s">
        <v>1385</v>
      </c>
      <c r="AM91" s="853" t="s">
        <v>1386</v>
      </c>
      <c r="AN91" s="866"/>
      <c r="AO91" s="866"/>
      <c r="AP91" s="866"/>
      <c r="AQ91" s="866"/>
      <c r="AR91" s="866"/>
      <c r="AS91" s="866"/>
      <c r="AT91" s="77"/>
    </row>
    <row r="92" spans="24:46" ht="21.75" thickBot="1">
      <c r="X92" s="6" t="s">
        <v>1238</v>
      </c>
      <c r="Y92" s="839" t="s">
        <v>1024</v>
      </c>
      <c r="Z92" s="835" t="s">
        <v>1054</v>
      </c>
      <c r="AA92" s="831"/>
      <c r="AB92" s="6" t="s">
        <v>1239</v>
      </c>
      <c r="AC92" s="839" t="s">
        <v>1240</v>
      </c>
      <c r="AD92" s="835" t="s">
        <v>1241</v>
      </c>
      <c r="AE92" s="831"/>
      <c r="AF92" s="858" t="s">
        <v>1435</v>
      </c>
      <c r="AG92" s="854">
        <v>65</v>
      </c>
      <c r="AH92" s="854">
        <v>45</v>
      </c>
      <c r="AI92" s="854" t="s">
        <v>1387</v>
      </c>
      <c r="AJ92" s="861" t="s">
        <v>1388</v>
      </c>
      <c r="AK92" s="854" t="s">
        <v>1388</v>
      </c>
      <c r="AL92" s="854" t="s">
        <v>1389</v>
      </c>
      <c r="AM92" s="855" t="s">
        <v>1390</v>
      </c>
      <c r="AN92" s="866"/>
      <c r="AO92" s="866"/>
      <c r="AP92" s="866"/>
      <c r="AQ92" s="866"/>
      <c r="AR92" s="866"/>
      <c r="AS92" s="866"/>
      <c r="AT92" s="77"/>
    </row>
    <row r="93" spans="24:46" ht="16.5" thickTop="1">
      <c r="X93" s="6" t="s">
        <v>1242</v>
      </c>
      <c r="Y93" s="839" t="s">
        <v>1021</v>
      </c>
      <c r="Z93" s="835" t="s">
        <v>1022</v>
      </c>
      <c r="AA93" s="831"/>
      <c r="AB93" s="6" t="s">
        <v>1243</v>
      </c>
      <c r="AC93" s="839" t="s">
        <v>1045</v>
      </c>
      <c r="AD93" s="835" t="s">
        <v>1244</v>
      </c>
      <c r="AE93" s="831"/>
      <c r="AF93" s="865"/>
      <c r="AG93" s="865"/>
      <c r="AH93" s="865"/>
      <c r="AI93" s="865"/>
      <c r="AJ93" s="865"/>
      <c r="AK93" s="865"/>
      <c r="AL93" s="865"/>
      <c r="AM93" s="865"/>
      <c r="AN93" s="866"/>
      <c r="AO93" s="866"/>
      <c r="AP93" s="866"/>
      <c r="AQ93" s="866"/>
      <c r="AR93" s="866"/>
      <c r="AS93" s="866"/>
      <c r="AT93" s="77"/>
    </row>
    <row r="94" spans="24:46" ht="15.75">
      <c r="X94" s="6" t="s">
        <v>1245</v>
      </c>
      <c r="Y94" s="839" t="s">
        <v>1024</v>
      </c>
      <c r="Z94" s="835" t="s">
        <v>1027</v>
      </c>
      <c r="AA94" s="831"/>
      <c r="AB94" s="6" t="s">
        <v>1246</v>
      </c>
      <c r="AC94" s="839" t="s">
        <v>1008</v>
      </c>
      <c r="AD94" s="835" t="s">
        <v>1016</v>
      </c>
      <c r="AE94" s="831"/>
      <c r="AF94" s="872" t="s">
        <v>1409</v>
      </c>
      <c r="AG94" s="865"/>
      <c r="AH94" s="865"/>
      <c r="AI94" s="865"/>
      <c r="AJ94" s="865"/>
      <c r="AK94" s="865"/>
      <c r="AL94" s="865"/>
      <c r="AM94" s="865"/>
      <c r="AN94" s="866"/>
      <c r="AO94" s="866"/>
      <c r="AP94" s="866"/>
      <c r="AQ94" s="866"/>
      <c r="AR94" s="866"/>
      <c r="AS94" s="866"/>
      <c r="AT94" s="77"/>
    </row>
    <row r="95" spans="24:46" ht="15.75">
      <c r="X95" s="6" t="s">
        <v>1247</v>
      </c>
      <c r="Y95" s="839" t="s">
        <v>1021</v>
      </c>
      <c r="Z95" s="835" t="s">
        <v>1033</v>
      </c>
      <c r="AA95" s="831"/>
      <c r="AB95" s="6" t="s">
        <v>1248</v>
      </c>
      <c r="AC95" s="839" t="s">
        <v>1045</v>
      </c>
      <c r="AD95" s="835" t="s">
        <v>1241</v>
      </c>
      <c r="AE95" s="831"/>
      <c r="AF95" s="865"/>
      <c r="AG95" s="865"/>
      <c r="AH95" s="865"/>
      <c r="AI95" s="865"/>
      <c r="AJ95" s="865"/>
      <c r="AK95" s="865"/>
      <c r="AL95" s="865"/>
      <c r="AM95" s="865"/>
      <c r="AN95" s="866"/>
      <c r="AO95" s="866"/>
      <c r="AP95" s="866"/>
      <c r="AQ95" s="866"/>
      <c r="AR95" s="866"/>
      <c r="AS95" s="866"/>
      <c r="AT95" s="77"/>
    </row>
    <row r="96" spans="24:46" ht="15.75">
      <c r="X96" s="6"/>
      <c r="Y96" s="839"/>
      <c r="Z96" s="835"/>
      <c r="AA96" s="831"/>
      <c r="AB96" s="6"/>
      <c r="AC96" s="839"/>
      <c r="AD96" s="835"/>
      <c r="AE96" s="831"/>
      <c r="AF96" s="866"/>
      <c r="AG96" s="866"/>
      <c r="AH96" s="866"/>
      <c r="AI96" s="866"/>
      <c r="AJ96" s="866"/>
      <c r="AK96" s="866"/>
      <c r="AL96" s="865"/>
      <c r="AM96" s="865"/>
      <c r="AN96" s="866"/>
      <c r="AO96" s="866"/>
      <c r="AP96" s="866"/>
      <c r="AQ96" s="866"/>
      <c r="AR96" s="866"/>
      <c r="AS96" s="866"/>
      <c r="AT96" s="77"/>
    </row>
    <row r="97" spans="24:31" ht="15.75">
      <c r="X97" s="6" t="s">
        <v>1249</v>
      </c>
      <c r="Y97" s="839" t="s">
        <v>1008</v>
      </c>
      <c r="Z97" s="835" t="s">
        <v>1028</v>
      </c>
      <c r="AA97" s="831"/>
      <c r="AB97" s="6" t="s">
        <v>1250</v>
      </c>
      <c r="AC97" s="839" t="s">
        <v>1251</v>
      </c>
      <c r="AD97" s="835" t="s">
        <v>1252</v>
      </c>
      <c r="AE97" s="831"/>
    </row>
    <row r="98" spans="24:31" ht="15.75">
      <c r="X98" s="6" t="s">
        <v>1253</v>
      </c>
      <c r="Y98" s="839" t="s">
        <v>1021</v>
      </c>
      <c r="Z98" s="835" t="s">
        <v>1254</v>
      </c>
      <c r="AA98" s="831"/>
      <c r="AB98" s="6" t="s">
        <v>1255</v>
      </c>
      <c r="AC98" s="839">
        <v>1</v>
      </c>
      <c r="AD98" s="835" t="s">
        <v>1016</v>
      </c>
      <c r="AE98" s="831"/>
    </row>
    <row r="99" spans="24:31" ht="15.75">
      <c r="X99" s="6" t="s">
        <v>1256</v>
      </c>
      <c r="Y99" s="839" t="s">
        <v>1011</v>
      </c>
      <c r="Z99" s="835" t="s">
        <v>1141</v>
      </c>
      <c r="AA99" s="831"/>
      <c r="AB99" s="6" t="s">
        <v>1257</v>
      </c>
      <c r="AC99" s="839" t="s">
        <v>1040</v>
      </c>
      <c r="AD99" s="847" t="s">
        <v>1258</v>
      </c>
      <c r="AE99" s="831"/>
    </row>
    <row r="100" spans="24:31" ht="15.75">
      <c r="X100" s="6" t="s">
        <v>1259</v>
      </c>
      <c r="Y100" s="839" t="s">
        <v>1021</v>
      </c>
      <c r="Z100" s="835" t="s">
        <v>1048</v>
      </c>
      <c r="AA100" s="831"/>
      <c r="AB100" s="6" t="s">
        <v>1260</v>
      </c>
      <c r="AC100" s="839" t="s">
        <v>1021</v>
      </c>
      <c r="AD100" s="835" t="s">
        <v>1027</v>
      </c>
      <c r="AE100" s="831"/>
    </row>
    <row r="101" spans="24:31" ht="15.75">
      <c r="X101" s="6"/>
      <c r="Y101" s="839"/>
      <c r="Z101" s="835"/>
      <c r="AA101" s="831"/>
      <c r="AB101" s="833"/>
      <c r="AC101" s="833"/>
      <c r="AD101" s="833"/>
      <c r="AE101" s="831"/>
    </row>
    <row r="102" spans="24:31" ht="18">
      <c r="X102" s="6" t="s">
        <v>1261</v>
      </c>
      <c r="Y102" s="839" t="s">
        <v>1024</v>
      </c>
      <c r="Z102" s="835" t="s">
        <v>1027</v>
      </c>
      <c r="AA102" s="831"/>
      <c r="AB102" s="3340" t="s">
        <v>1262</v>
      </c>
      <c r="AC102" s="3340"/>
      <c r="AD102" s="3340"/>
      <c r="AE102" s="831"/>
    </row>
    <row r="103" spans="24:31" ht="15.75">
      <c r="X103" s="6" t="s">
        <v>1263</v>
      </c>
      <c r="Y103" s="839" t="s">
        <v>1024</v>
      </c>
      <c r="Z103" s="835" t="s">
        <v>1094</v>
      </c>
      <c r="AA103" s="831"/>
      <c r="AB103" s="3339" t="s">
        <v>1397</v>
      </c>
      <c r="AC103" s="3339"/>
      <c r="AD103" s="848" t="s">
        <v>1398</v>
      </c>
      <c r="AE103" s="831"/>
    </row>
    <row r="104" spans="24:31" ht="15.75">
      <c r="X104" s="6" t="s">
        <v>1264</v>
      </c>
      <c r="Y104" s="839" t="s">
        <v>1024</v>
      </c>
      <c r="Z104" s="835" t="s">
        <v>1054</v>
      </c>
      <c r="AA104" s="831"/>
      <c r="AB104" s="3339"/>
      <c r="AC104" s="3339"/>
      <c r="AD104" s="848"/>
      <c r="AE104" s="831"/>
    </row>
    <row r="105" spans="24:31" ht="15.75">
      <c r="X105" s="6" t="s">
        <v>1265</v>
      </c>
      <c r="Y105" s="839" t="s">
        <v>1024</v>
      </c>
      <c r="Z105" s="835" t="s">
        <v>1054</v>
      </c>
      <c r="AA105" s="831"/>
      <c r="AB105" s="6" t="s">
        <v>1266</v>
      </c>
      <c r="AC105" s="6"/>
      <c r="AD105" s="835" t="s">
        <v>1267</v>
      </c>
      <c r="AE105" s="831"/>
    </row>
    <row r="106" spans="24:31" ht="15.75">
      <c r="X106" s="6" t="s">
        <v>1268</v>
      </c>
      <c r="Y106" s="839" t="s">
        <v>1040</v>
      </c>
      <c r="Z106" s="847" t="s">
        <v>1041</v>
      </c>
      <c r="AA106" s="831"/>
      <c r="AB106" s="6" t="s">
        <v>1269</v>
      </c>
      <c r="AC106" s="6"/>
      <c r="AD106" s="835" t="s">
        <v>1060</v>
      </c>
      <c r="AE106" s="831"/>
    </row>
    <row r="107" spans="24:31" ht="15.75">
      <c r="X107" s="6" t="s">
        <v>1270</v>
      </c>
      <c r="Y107" s="839" t="s">
        <v>1021</v>
      </c>
      <c r="Z107" s="835" t="s">
        <v>1103</v>
      </c>
      <c r="AA107" s="831"/>
      <c r="AB107" s="6" t="s">
        <v>1271</v>
      </c>
      <c r="AC107" s="6"/>
      <c r="AD107" s="835" t="s">
        <v>1272</v>
      </c>
      <c r="AE107" s="831"/>
    </row>
    <row r="108" spans="24:31" ht="15.75">
      <c r="X108" s="6" t="s">
        <v>1273</v>
      </c>
      <c r="Y108" s="839" t="s">
        <v>1011</v>
      </c>
      <c r="Z108" s="835" t="s">
        <v>1144</v>
      </c>
      <c r="AA108" s="831"/>
      <c r="AB108" s="6" t="s">
        <v>1274</v>
      </c>
      <c r="AC108" s="6"/>
      <c r="AD108" s="835" t="s">
        <v>1027</v>
      </c>
      <c r="AE108" s="831"/>
    </row>
    <row r="109" spans="24:31" ht="15.75">
      <c r="X109" s="6"/>
      <c r="Y109" s="839"/>
      <c r="Z109" s="835"/>
      <c r="AA109" s="831"/>
      <c r="AB109" s="6" t="s">
        <v>1275</v>
      </c>
      <c r="AC109" s="6"/>
      <c r="AD109" s="835" t="s">
        <v>1016</v>
      </c>
      <c r="AE109" s="831"/>
    </row>
    <row r="110" spans="24:31" ht="15.75">
      <c r="X110" s="6" t="s">
        <v>1276</v>
      </c>
      <c r="Y110" s="839" t="s">
        <v>1040</v>
      </c>
      <c r="Z110" s="847" t="s">
        <v>1041</v>
      </c>
      <c r="AA110" s="831"/>
      <c r="AB110" s="6" t="s">
        <v>1277</v>
      </c>
      <c r="AC110" s="6"/>
      <c r="AD110" s="835" t="s">
        <v>1016</v>
      </c>
      <c r="AE110" s="831"/>
    </row>
    <row r="111" spans="24:31" ht="15.75">
      <c r="X111" s="6" t="s">
        <v>1278</v>
      </c>
      <c r="Y111" s="839" t="s">
        <v>1040</v>
      </c>
      <c r="Z111" s="847" t="s">
        <v>1041</v>
      </c>
      <c r="AA111" s="831"/>
      <c r="AB111" s="6" t="s">
        <v>1279</v>
      </c>
      <c r="AC111" s="6"/>
      <c r="AD111" s="835" t="s">
        <v>1087</v>
      </c>
      <c r="AE111" s="831"/>
    </row>
    <row r="112" spans="24:31" ht="15.75">
      <c r="X112" s="6" t="s">
        <v>1280</v>
      </c>
      <c r="Y112" s="839" t="s">
        <v>1281</v>
      </c>
      <c r="Z112" s="847" t="s">
        <v>1282</v>
      </c>
      <c r="AA112" s="831"/>
      <c r="AB112" s="6" t="s">
        <v>1283</v>
      </c>
      <c r="AC112" s="6"/>
      <c r="AD112" s="835" t="s">
        <v>1218</v>
      </c>
      <c r="AE112" s="831"/>
    </row>
    <row r="113" spans="24:31" ht="15.75">
      <c r="X113" s="6" t="s">
        <v>1284</v>
      </c>
      <c r="Y113" s="839" t="s">
        <v>1285</v>
      </c>
      <c r="Z113" s="835" t="s">
        <v>1286</v>
      </c>
      <c r="AA113" s="831"/>
      <c r="AB113" s="6" t="s">
        <v>1287</v>
      </c>
      <c r="AC113" s="6"/>
      <c r="AD113" s="835" t="s">
        <v>1288</v>
      </c>
      <c r="AE113" s="831"/>
    </row>
    <row r="114" spans="24:31" ht="15.75">
      <c r="X114" s="6" t="s">
        <v>1289</v>
      </c>
      <c r="Y114" s="839" t="s">
        <v>1024</v>
      </c>
      <c r="Z114" s="835" t="s">
        <v>1033</v>
      </c>
      <c r="AA114" s="831"/>
      <c r="AB114" s="6" t="s">
        <v>1290</v>
      </c>
      <c r="AC114" s="6"/>
      <c r="AD114" s="835" t="s">
        <v>1016</v>
      </c>
      <c r="AE114" s="831"/>
    </row>
    <row r="115" spans="24:31" ht="15.75">
      <c r="X115" s="6" t="s">
        <v>1291</v>
      </c>
      <c r="Y115" s="839" t="s">
        <v>1240</v>
      </c>
      <c r="Z115" s="835" t="s">
        <v>1218</v>
      </c>
      <c r="AA115" s="831"/>
      <c r="AB115" s="6" t="s">
        <v>1292</v>
      </c>
      <c r="AC115" s="6"/>
      <c r="AD115" s="835" t="s">
        <v>1087</v>
      </c>
      <c r="AE115" s="831"/>
    </row>
    <row r="116" spans="24:31" ht="15.75">
      <c r="X116" s="6" t="s">
        <v>1293</v>
      </c>
      <c r="Y116" s="839" t="s">
        <v>1294</v>
      </c>
      <c r="Z116" s="835" t="s">
        <v>1033</v>
      </c>
      <c r="AA116" s="831"/>
      <c r="AB116" s="6" t="s">
        <v>1295</v>
      </c>
      <c r="AC116" s="6"/>
      <c r="AD116" s="835" t="s">
        <v>1221</v>
      </c>
      <c r="AE116" s="831"/>
    </row>
    <row r="117" spans="24:31" ht="15.75">
      <c r="X117" s="6" t="s">
        <v>1296</v>
      </c>
      <c r="Y117" s="839" t="s">
        <v>1086</v>
      </c>
      <c r="Z117" s="835" t="s">
        <v>1191</v>
      </c>
      <c r="AA117" s="831"/>
      <c r="AB117" s="6" t="s">
        <v>1297</v>
      </c>
      <c r="AC117" s="6"/>
      <c r="AD117" s="835" t="s">
        <v>1218</v>
      </c>
      <c r="AE117" s="831"/>
    </row>
    <row r="118" spans="24:31" ht="15.75">
      <c r="X118" s="6" t="s">
        <v>1298</v>
      </c>
      <c r="Y118" s="839" t="s">
        <v>1299</v>
      </c>
      <c r="Z118" s="835" t="s">
        <v>1300</v>
      </c>
      <c r="AA118" s="831"/>
      <c r="AB118" s="6" t="s">
        <v>1301</v>
      </c>
      <c r="AC118" s="6"/>
      <c r="AD118" s="835" t="s">
        <v>1016</v>
      </c>
      <c r="AE118" s="831"/>
    </row>
    <row r="119" spans="24:31" ht="15.75">
      <c r="X119" s="6" t="s">
        <v>1302</v>
      </c>
      <c r="Y119" s="839" t="s">
        <v>1040</v>
      </c>
      <c r="Z119" s="847" t="s">
        <v>1041</v>
      </c>
      <c r="AA119" s="831"/>
      <c r="AB119" s="6" t="s">
        <v>1303</v>
      </c>
      <c r="AC119" s="6"/>
      <c r="AD119" s="835" t="s">
        <v>1016</v>
      </c>
      <c r="AE119" s="831"/>
    </row>
    <row r="120" spans="24:31" ht="15.75">
      <c r="X120" s="6" t="s">
        <v>1304</v>
      </c>
      <c r="Y120" s="839">
        <v>1</v>
      </c>
      <c r="Z120" s="835" t="s">
        <v>1025</v>
      </c>
      <c r="AA120" s="831"/>
      <c r="AB120" s="6" t="s">
        <v>1305</v>
      </c>
      <c r="AC120" s="6"/>
      <c r="AD120" s="835" t="s">
        <v>1218</v>
      </c>
      <c r="AE120" s="831"/>
    </row>
    <row r="121" spans="24:31" ht="15.75">
      <c r="X121" s="831"/>
      <c r="Y121" s="831"/>
      <c r="Z121" s="831"/>
      <c r="AA121" s="831"/>
      <c r="AB121" s="6" t="s">
        <v>1306</v>
      </c>
      <c r="AC121" s="6"/>
      <c r="AD121" s="835" t="s">
        <v>1087</v>
      </c>
      <c r="AE121" s="831"/>
    </row>
    <row r="122" spans="24:31" ht="15.75">
      <c r="X122" s="831"/>
      <c r="Y122" s="831"/>
      <c r="Z122" s="831"/>
      <c r="AA122" s="831"/>
      <c r="AB122" s="6" t="s">
        <v>1307</v>
      </c>
      <c r="AC122" s="6"/>
      <c r="AD122" s="835" t="s">
        <v>1087</v>
      </c>
      <c r="AE122" s="831"/>
    </row>
    <row r="123" spans="24:31" ht="15.75">
      <c r="X123" s="831"/>
      <c r="Y123" s="831"/>
      <c r="Z123" s="831"/>
      <c r="AA123" s="831"/>
      <c r="AB123" s="6" t="s">
        <v>1308</v>
      </c>
      <c r="AC123" s="6"/>
      <c r="AD123" s="835" t="s">
        <v>1031</v>
      </c>
      <c r="AE123" s="831"/>
    </row>
    <row r="124" spans="24:31" ht="15.75">
      <c r="X124" s="831"/>
      <c r="Y124" s="831"/>
      <c r="Z124" s="831"/>
      <c r="AA124" s="831"/>
      <c r="AB124" s="6" t="s">
        <v>1309</v>
      </c>
      <c r="AC124" s="6"/>
      <c r="AD124" s="835" t="s">
        <v>1218</v>
      </c>
      <c r="AE124" s="865"/>
    </row>
    <row r="125" spans="24:31" ht="15.75">
      <c r="X125" s="831"/>
      <c r="Y125" s="831"/>
      <c r="Z125" s="831"/>
      <c r="AA125" s="831"/>
      <c r="AB125" s="6" t="s">
        <v>1310</v>
      </c>
      <c r="AC125" s="6"/>
      <c r="AD125" s="835" t="s">
        <v>1311</v>
      </c>
      <c r="AE125" s="831"/>
    </row>
    <row r="126" spans="24:31">
      <c r="AE126" s="831"/>
    </row>
    <row r="127" spans="24:31">
      <c r="AB127" s="834" t="s">
        <v>1312</v>
      </c>
      <c r="AE127" s="831"/>
    </row>
    <row r="128" spans="24:31">
      <c r="X128" s="831"/>
      <c r="Y128" s="831"/>
      <c r="Z128" s="831"/>
      <c r="AA128" s="831"/>
      <c r="AB128" s="834" t="s">
        <v>1313</v>
      </c>
      <c r="AD128" s="831"/>
      <c r="AE128" s="831"/>
    </row>
    <row r="129" spans="24:31">
      <c r="X129" s="831"/>
      <c r="Y129" s="831"/>
      <c r="Z129" s="831"/>
      <c r="AA129" s="831"/>
      <c r="AC129" s="831"/>
      <c r="AD129" s="833"/>
      <c r="AE129" s="831"/>
    </row>
    <row r="130" spans="24:31">
      <c r="X130" s="831"/>
      <c r="Y130" s="831"/>
      <c r="Z130" s="831"/>
      <c r="AA130" s="831"/>
      <c r="AC130" s="831"/>
      <c r="AD130" s="833"/>
      <c r="AE130" s="831"/>
    </row>
    <row r="131" spans="24:31">
      <c r="Y131" s="831"/>
      <c r="Z131" s="831"/>
      <c r="AA131" s="831"/>
      <c r="AB131" s="833"/>
      <c r="AC131" s="833"/>
      <c r="AD131" s="833"/>
      <c r="AE131" s="831"/>
    </row>
    <row r="132" spans="24:31">
      <c r="Y132" s="831"/>
      <c r="Z132" s="831"/>
      <c r="AA132" s="831"/>
      <c r="AB132" s="833"/>
      <c r="AC132" s="833"/>
      <c r="AD132" s="833"/>
      <c r="AE132" s="831"/>
    </row>
    <row r="133" spans="24:31">
      <c r="Y133" s="831"/>
      <c r="Z133" s="831"/>
      <c r="AA133" s="831"/>
      <c r="AB133" s="833"/>
      <c r="AC133" s="833"/>
      <c r="AD133" s="833"/>
      <c r="AE133" s="831"/>
    </row>
    <row r="134" spans="24:31">
      <c r="Y134" s="831"/>
      <c r="Z134" s="831"/>
      <c r="AA134" s="831"/>
      <c r="AB134" s="833"/>
      <c r="AC134" s="833"/>
      <c r="AD134" s="833"/>
      <c r="AE134" s="831"/>
    </row>
    <row r="135" spans="24:31">
      <c r="Y135" s="831"/>
      <c r="Z135" s="831"/>
      <c r="AA135" s="831"/>
      <c r="AB135" s="833"/>
      <c r="AC135" s="833"/>
      <c r="AD135" s="833"/>
      <c r="AE135" s="831"/>
    </row>
    <row r="136" spans="24:31">
      <c r="Y136" s="831"/>
      <c r="Z136" s="831"/>
      <c r="AA136" s="831"/>
      <c r="AB136" s="831"/>
      <c r="AC136" s="831"/>
      <c r="AD136" s="831"/>
      <c r="AE136" s="831"/>
    </row>
  </sheetData>
  <mergeCells count="13">
    <mergeCell ref="B2:G4"/>
    <mergeCell ref="I2:N4"/>
    <mergeCell ref="P2:U4"/>
    <mergeCell ref="B1:V1"/>
    <mergeCell ref="A5:A68"/>
    <mergeCell ref="H5:H68"/>
    <mergeCell ref="O5:O68"/>
    <mergeCell ref="V5:V68"/>
    <mergeCell ref="AB103:AC104"/>
    <mergeCell ref="AB102:AD102"/>
    <mergeCell ref="AF74:AF75"/>
    <mergeCell ref="AG74:AI74"/>
    <mergeCell ref="AJ74:AM74"/>
  </mergeCells>
  <hyperlinks>
    <hyperlink ref="AV8" r:id="rId1"/>
    <hyperlink ref="AV10" r:id="rId2"/>
    <hyperlink ref="AX12" r:id="rId3"/>
    <hyperlink ref="AY14" r:id="rId4"/>
    <hyperlink ref="AW16" r:id="rId5"/>
    <hyperlink ref="AX18" r:id="rId6"/>
    <hyperlink ref="AV20" r:id="rId7" location="q=Correspondance+Calibre%2F+Poids+fruits+legumes"/>
    <hyperlink ref="AV22" r:id="rId8"/>
    <hyperlink ref="AV24" r:id="rId9"/>
    <hyperlink ref="AV26" r:id="rId10"/>
    <hyperlink ref="AV28" r:id="rId11" display="https://www.lanutrition.fr/bien-dans-son-assiette/bien-manger/les-recommandations-de-lanutrition.fr/une-portion-cest-combien-"/>
  </hyperlinks>
  <pageMargins left="0.7" right="0.7" top="0.75" bottom="0.75" header="0.3" footer="0.3"/>
  <pageSetup paperSize="9" orientation="portrait" r:id="rId1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7"/>
  <sheetViews>
    <sheetView showZeros="0" zoomScaleNormal="100" workbookViewId="0">
      <selection activeCell="P19" sqref="P19"/>
    </sheetView>
  </sheetViews>
  <sheetFormatPr baseColWidth="10" defaultRowHeight="12.75"/>
  <cols>
    <col min="1" max="1" width="1.7109375" style="831" customWidth="1"/>
    <col min="2" max="2" width="11.42578125" style="831"/>
    <col min="3" max="3" width="15.28515625" style="831" bestFit="1" customWidth="1"/>
    <col min="4" max="4" width="10.5703125" style="831" customWidth="1"/>
    <col min="5" max="5" width="19" style="831" customWidth="1"/>
    <col min="6" max="7" width="12.7109375" style="831" customWidth="1"/>
    <col min="8" max="8" width="16.140625" style="831" customWidth="1"/>
    <col min="9" max="9" width="12.7109375" style="1727" customWidth="1"/>
    <col min="10" max="11" width="12.7109375" style="831" customWidth="1"/>
    <col min="12" max="12" width="13.5703125" style="831" customWidth="1"/>
    <col min="13" max="256" width="11.42578125" style="831"/>
    <col min="257" max="257" width="1.7109375" style="831" customWidth="1"/>
    <col min="258" max="258" width="11.42578125" style="831"/>
    <col min="259" max="259" width="15.28515625" style="831" bestFit="1" customWidth="1"/>
    <col min="260" max="260" width="10.5703125" style="831" customWidth="1"/>
    <col min="261" max="261" width="19" style="831" customWidth="1"/>
    <col min="262" max="264" width="9.7109375" style="831" customWidth="1"/>
    <col min="265" max="265" width="10" style="831" customWidth="1"/>
    <col min="266" max="267" width="9.7109375" style="831" customWidth="1"/>
    <col min="268" max="268" width="7.85546875" style="831" customWidth="1"/>
    <col min="269" max="512" width="11.42578125" style="831"/>
    <col min="513" max="513" width="1.7109375" style="831" customWidth="1"/>
    <col min="514" max="514" width="11.42578125" style="831"/>
    <col min="515" max="515" width="15.28515625" style="831" bestFit="1" customWidth="1"/>
    <col min="516" max="516" width="10.5703125" style="831" customWidth="1"/>
    <col min="517" max="517" width="19" style="831" customWidth="1"/>
    <col min="518" max="520" width="9.7109375" style="831" customWidth="1"/>
    <col min="521" max="521" width="10" style="831" customWidth="1"/>
    <col min="522" max="523" width="9.7109375" style="831" customWidth="1"/>
    <col min="524" max="524" width="7.85546875" style="831" customWidth="1"/>
    <col min="525" max="768" width="11.42578125" style="831"/>
    <col min="769" max="769" width="1.7109375" style="831" customWidth="1"/>
    <col min="770" max="770" width="11.42578125" style="831"/>
    <col min="771" max="771" width="15.28515625" style="831" bestFit="1" customWidth="1"/>
    <col min="772" max="772" width="10.5703125" style="831" customWidth="1"/>
    <col min="773" max="773" width="19" style="831" customWidth="1"/>
    <col min="774" max="776" width="9.7109375" style="831" customWidth="1"/>
    <col min="777" max="777" width="10" style="831" customWidth="1"/>
    <col min="778" max="779" width="9.7109375" style="831" customWidth="1"/>
    <col min="780" max="780" width="7.85546875" style="831" customWidth="1"/>
    <col min="781" max="1024" width="11.42578125" style="831"/>
    <col min="1025" max="1025" width="1.7109375" style="831" customWidth="1"/>
    <col min="1026" max="1026" width="11.42578125" style="831"/>
    <col min="1027" max="1027" width="15.28515625" style="831" bestFit="1" customWidth="1"/>
    <col min="1028" max="1028" width="10.5703125" style="831" customWidth="1"/>
    <col min="1029" max="1029" width="19" style="831" customWidth="1"/>
    <col min="1030" max="1032" width="9.7109375" style="831" customWidth="1"/>
    <col min="1033" max="1033" width="10" style="831" customWidth="1"/>
    <col min="1034" max="1035" width="9.7109375" style="831" customWidth="1"/>
    <col min="1036" max="1036" width="7.85546875" style="831" customWidth="1"/>
    <col min="1037" max="1280" width="11.42578125" style="831"/>
    <col min="1281" max="1281" width="1.7109375" style="831" customWidth="1"/>
    <col min="1282" max="1282" width="11.42578125" style="831"/>
    <col min="1283" max="1283" width="15.28515625" style="831" bestFit="1" customWidth="1"/>
    <col min="1284" max="1284" width="10.5703125" style="831" customWidth="1"/>
    <col min="1285" max="1285" width="19" style="831" customWidth="1"/>
    <col min="1286" max="1288" width="9.7109375" style="831" customWidth="1"/>
    <col min="1289" max="1289" width="10" style="831" customWidth="1"/>
    <col min="1290" max="1291" width="9.7109375" style="831" customWidth="1"/>
    <col min="1292" max="1292" width="7.85546875" style="831" customWidth="1"/>
    <col min="1293" max="1536" width="11.42578125" style="831"/>
    <col min="1537" max="1537" width="1.7109375" style="831" customWidth="1"/>
    <col min="1538" max="1538" width="11.42578125" style="831"/>
    <col min="1539" max="1539" width="15.28515625" style="831" bestFit="1" customWidth="1"/>
    <col min="1540" max="1540" width="10.5703125" style="831" customWidth="1"/>
    <col min="1541" max="1541" width="19" style="831" customWidth="1"/>
    <col min="1542" max="1544" width="9.7109375" style="831" customWidth="1"/>
    <col min="1545" max="1545" width="10" style="831" customWidth="1"/>
    <col min="1546" max="1547" width="9.7109375" style="831" customWidth="1"/>
    <col min="1548" max="1548" width="7.85546875" style="831" customWidth="1"/>
    <col min="1549" max="1792" width="11.42578125" style="831"/>
    <col min="1793" max="1793" width="1.7109375" style="831" customWidth="1"/>
    <col min="1794" max="1794" width="11.42578125" style="831"/>
    <col min="1795" max="1795" width="15.28515625" style="831" bestFit="1" customWidth="1"/>
    <col min="1796" max="1796" width="10.5703125" style="831" customWidth="1"/>
    <col min="1797" max="1797" width="19" style="831" customWidth="1"/>
    <col min="1798" max="1800" width="9.7109375" style="831" customWidth="1"/>
    <col min="1801" max="1801" width="10" style="831" customWidth="1"/>
    <col min="1802" max="1803" width="9.7109375" style="831" customWidth="1"/>
    <col min="1804" max="1804" width="7.85546875" style="831" customWidth="1"/>
    <col min="1805" max="2048" width="11.42578125" style="831"/>
    <col min="2049" max="2049" width="1.7109375" style="831" customWidth="1"/>
    <col min="2050" max="2050" width="11.42578125" style="831"/>
    <col min="2051" max="2051" width="15.28515625" style="831" bestFit="1" customWidth="1"/>
    <col min="2052" max="2052" width="10.5703125" style="831" customWidth="1"/>
    <col min="2053" max="2053" width="19" style="831" customWidth="1"/>
    <col min="2054" max="2056" width="9.7109375" style="831" customWidth="1"/>
    <col min="2057" max="2057" width="10" style="831" customWidth="1"/>
    <col min="2058" max="2059" width="9.7109375" style="831" customWidth="1"/>
    <col min="2060" max="2060" width="7.85546875" style="831" customWidth="1"/>
    <col min="2061" max="2304" width="11.42578125" style="831"/>
    <col min="2305" max="2305" width="1.7109375" style="831" customWidth="1"/>
    <col min="2306" max="2306" width="11.42578125" style="831"/>
    <col min="2307" max="2307" width="15.28515625" style="831" bestFit="1" customWidth="1"/>
    <col min="2308" max="2308" width="10.5703125" style="831" customWidth="1"/>
    <col min="2309" max="2309" width="19" style="831" customWidth="1"/>
    <col min="2310" max="2312" width="9.7109375" style="831" customWidth="1"/>
    <col min="2313" max="2313" width="10" style="831" customWidth="1"/>
    <col min="2314" max="2315" width="9.7109375" style="831" customWidth="1"/>
    <col min="2316" max="2316" width="7.85546875" style="831" customWidth="1"/>
    <col min="2317" max="2560" width="11.42578125" style="831"/>
    <col min="2561" max="2561" width="1.7109375" style="831" customWidth="1"/>
    <col min="2562" max="2562" width="11.42578125" style="831"/>
    <col min="2563" max="2563" width="15.28515625" style="831" bestFit="1" customWidth="1"/>
    <col min="2564" max="2564" width="10.5703125" style="831" customWidth="1"/>
    <col min="2565" max="2565" width="19" style="831" customWidth="1"/>
    <col min="2566" max="2568" width="9.7109375" style="831" customWidth="1"/>
    <col min="2569" max="2569" width="10" style="831" customWidth="1"/>
    <col min="2570" max="2571" width="9.7109375" style="831" customWidth="1"/>
    <col min="2572" max="2572" width="7.85546875" style="831" customWidth="1"/>
    <col min="2573" max="2816" width="11.42578125" style="831"/>
    <col min="2817" max="2817" width="1.7109375" style="831" customWidth="1"/>
    <col min="2818" max="2818" width="11.42578125" style="831"/>
    <col min="2819" max="2819" width="15.28515625" style="831" bestFit="1" customWidth="1"/>
    <col min="2820" max="2820" width="10.5703125" style="831" customWidth="1"/>
    <col min="2821" max="2821" width="19" style="831" customWidth="1"/>
    <col min="2822" max="2824" width="9.7109375" style="831" customWidth="1"/>
    <col min="2825" max="2825" width="10" style="831" customWidth="1"/>
    <col min="2826" max="2827" width="9.7109375" style="831" customWidth="1"/>
    <col min="2828" max="2828" width="7.85546875" style="831" customWidth="1"/>
    <col min="2829" max="3072" width="11.42578125" style="831"/>
    <col min="3073" max="3073" width="1.7109375" style="831" customWidth="1"/>
    <col min="3074" max="3074" width="11.42578125" style="831"/>
    <col min="3075" max="3075" width="15.28515625" style="831" bestFit="1" customWidth="1"/>
    <col min="3076" max="3076" width="10.5703125" style="831" customWidth="1"/>
    <col min="3077" max="3077" width="19" style="831" customWidth="1"/>
    <col min="3078" max="3080" width="9.7109375" style="831" customWidth="1"/>
    <col min="3081" max="3081" width="10" style="831" customWidth="1"/>
    <col min="3082" max="3083" width="9.7109375" style="831" customWidth="1"/>
    <col min="3084" max="3084" width="7.85546875" style="831" customWidth="1"/>
    <col min="3085" max="3328" width="11.42578125" style="831"/>
    <col min="3329" max="3329" width="1.7109375" style="831" customWidth="1"/>
    <col min="3330" max="3330" width="11.42578125" style="831"/>
    <col min="3331" max="3331" width="15.28515625" style="831" bestFit="1" customWidth="1"/>
    <col min="3332" max="3332" width="10.5703125" style="831" customWidth="1"/>
    <col min="3333" max="3333" width="19" style="831" customWidth="1"/>
    <col min="3334" max="3336" width="9.7109375" style="831" customWidth="1"/>
    <col min="3337" max="3337" width="10" style="831" customWidth="1"/>
    <col min="3338" max="3339" width="9.7109375" style="831" customWidth="1"/>
    <col min="3340" max="3340" width="7.85546875" style="831" customWidth="1"/>
    <col min="3341" max="3584" width="11.42578125" style="831"/>
    <col min="3585" max="3585" width="1.7109375" style="831" customWidth="1"/>
    <col min="3586" max="3586" width="11.42578125" style="831"/>
    <col min="3587" max="3587" width="15.28515625" style="831" bestFit="1" customWidth="1"/>
    <col min="3588" max="3588" width="10.5703125" style="831" customWidth="1"/>
    <col min="3589" max="3589" width="19" style="831" customWidth="1"/>
    <col min="3590" max="3592" width="9.7109375" style="831" customWidth="1"/>
    <col min="3593" max="3593" width="10" style="831" customWidth="1"/>
    <col min="3594" max="3595" width="9.7109375" style="831" customWidth="1"/>
    <col min="3596" max="3596" width="7.85546875" style="831" customWidth="1"/>
    <col min="3597" max="3840" width="11.42578125" style="831"/>
    <col min="3841" max="3841" width="1.7109375" style="831" customWidth="1"/>
    <col min="3842" max="3842" width="11.42578125" style="831"/>
    <col min="3843" max="3843" width="15.28515625" style="831" bestFit="1" customWidth="1"/>
    <col min="3844" max="3844" width="10.5703125" style="831" customWidth="1"/>
    <col min="3845" max="3845" width="19" style="831" customWidth="1"/>
    <col min="3846" max="3848" width="9.7109375" style="831" customWidth="1"/>
    <col min="3849" max="3849" width="10" style="831" customWidth="1"/>
    <col min="3850" max="3851" width="9.7109375" style="831" customWidth="1"/>
    <col min="3852" max="3852" width="7.85546875" style="831" customWidth="1"/>
    <col min="3853" max="4096" width="11.42578125" style="831"/>
    <col min="4097" max="4097" width="1.7109375" style="831" customWidth="1"/>
    <col min="4098" max="4098" width="11.42578125" style="831"/>
    <col min="4099" max="4099" width="15.28515625" style="831" bestFit="1" customWidth="1"/>
    <col min="4100" max="4100" width="10.5703125" style="831" customWidth="1"/>
    <col min="4101" max="4101" width="19" style="831" customWidth="1"/>
    <col min="4102" max="4104" width="9.7109375" style="831" customWidth="1"/>
    <col min="4105" max="4105" width="10" style="831" customWidth="1"/>
    <col min="4106" max="4107" width="9.7109375" style="831" customWidth="1"/>
    <col min="4108" max="4108" width="7.85546875" style="831" customWidth="1"/>
    <col min="4109" max="4352" width="11.42578125" style="831"/>
    <col min="4353" max="4353" width="1.7109375" style="831" customWidth="1"/>
    <col min="4354" max="4354" width="11.42578125" style="831"/>
    <col min="4355" max="4355" width="15.28515625" style="831" bestFit="1" customWidth="1"/>
    <col min="4356" max="4356" width="10.5703125" style="831" customWidth="1"/>
    <col min="4357" max="4357" width="19" style="831" customWidth="1"/>
    <col min="4358" max="4360" width="9.7109375" style="831" customWidth="1"/>
    <col min="4361" max="4361" width="10" style="831" customWidth="1"/>
    <col min="4362" max="4363" width="9.7109375" style="831" customWidth="1"/>
    <col min="4364" max="4364" width="7.85546875" style="831" customWidth="1"/>
    <col min="4365" max="4608" width="11.42578125" style="831"/>
    <col min="4609" max="4609" width="1.7109375" style="831" customWidth="1"/>
    <col min="4610" max="4610" width="11.42578125" style="831"/>
    <col min="4611" max="4611" width="15.28515625" style="831" bestFit="1" customWidth="1"/>
    <col min="4612" max="4612" width="10.5703125" style="831" customWidth="1"/>
    <col min="4613" max="4613" width="19" style="831" customWidth="1"/>
    <col min="4614" max="4616" width="9.7109375" style="831" customWidth="1"/>
    <col min="4617" max="4617" width="10" style="831" customWidth="1"/>
    <col min="4618" max="4619" width="9.7109375" style="831" customWidth="1"/>
    <col min="4620" max="4620" width="7.85546875" style="831" customWidth="1"/>
    <col min="4621" max="4864" width="11.42578125" style="831"/>
    <col min="4865" max="4865" width="1.7109375" style="831" customWidth="1"/>
    <col min="4866" max="4866" width="11.42578125" style="831"/>
    <col min="4867" max="4867" width="15.28515625" style="831" bestFit="1" customWidth="1"/>
    <col min="4868" max="4868" width="10.5703125" style="831" customWidth="1"/>
    <col min="4869" max="4869" width="19" style="831" customWidth="1"/>
    <col min="4870" max="4872" width="9.7109375" style="831" customWidth="1"/>
    <col min="4873" max="4873" width="10" style="831" customWidth="1"/>
    <col min="4874" max="4875" width="9.7109375" style="831" customWidth="1"/>
    <col min="4876" max="4876" width="7.85546875" style="831" customWidth="1"/>
    <col min="4877" max="5120" width="11.42578125" style="831"/>
    <col min="5121" max="5121" width="1.7109375" style="831" customWidth="1"/>
    <col min="5122" max="5122" width="11.42578125" style="831"/>
    <col min="5123" max="5123" width="15.28515625" style="831" bestFit="1" customWidth="1"/>
    <col min="5124" max="5124" width="10.5703125" style="831" customWidth="1"/>
    <col min="5125" max="5125" width="19" style="831" customWidth="1"/>
    <col min="5126" max="5128" width="9.7109375" style="831" customWidth="1"/>
    <col min="5129" max="5129" width="10" style="831" customWidth="1"/>
    <col min="5130" max="5131" width="9.7109375" style="831" customWidth="1"/>
    <col min="5132" max="5132" width="7.85546875" style="831" customWidth="1"/>
    <col min="5133" max="5376" width="11.42578125" style="831"/>
    <col min="5377" max="5377" width="1.7109375" style="831" customWidth="1"/>
    <col min="5378" max="5378" width="11.42578125" style="831"/>
    <col min="5379" max="5379" width="15.28515625" style="831" bestFit="1" customWidth="1"/>
    <col min="5380" max="5380" width="10.5703125" style="831" customWidth="1"/>
    <col min="5381" max="5381" width="19" style="831" customWidth="1"/>
    <col min="5382" max="5384" width="9.7109375" style="831" customWidth="1"/>
    <col min="5385" max="5385" width="10" style="831" customWidth="1"/>
    <col min="5386" max="5387" width="9.7109375" style="831" customWidth="1"/>
    <col min="5388" max="5388" width="7.85546875" style="831" customWidth="1"/>
    <col min="5389" max="5632" width="11.42578125" style="831"/>
    <col min="5633" max="5633" width="1.7109375" style="831" customWidth="1"/>
    <col min="5634" max="5634" width="11.42578125" style="831"/>
    <col min="5635" max="5635" width="15.28515625" style="831" bestFit="1" customWidth="1"/>
    <col min="5636" max="5636" width="10.5703125" style="831" customWidth="1"/>
    <col min="5637" max="5637" width="19" style="831" customWidth="1"/>
    <col min="5638" max="5640" width="9.7109375" style="831" customWidth="1"/>
    <col min="5641" max="5641" width="10" style="831" customWidth="1"/>
    <col min="5642" max="5643" width="9.7109375" style="831" customWidth="1"/>
    <col min="5644" max="5644" width="7.85546875" style="831" customWidth="1"/>
    <col min="5645" max="5888" width="11.42578125" style="831"/>
    <col min="5889" max="5889" width="1.7109375" style="831" customWidth="1"/>
    <col min="5890" max="5890" width="11.42578125" style="831"/>
    <col min="5891" max="5891" width="15.28515625" style="831" bestFit="1" customWidth="1"/>
    <col min="5892" max="5892" width="10.5703125" style="831" customWidth="1"/>
    <col min="5893" max="5893" width="19" style="831" customWidth="1"/>
    <col min="5894" max="5896" width="9.7109375" style="831" customWidth="1"/>
    <col min="5897" max="5897" width="10" style="831" customWidth="1"/>
    <col min="5898" max="5899" width="9.7109375" style="831" customWidth="1"/>
    <col min="5900" max="5900" width="7.85546875" style="831" customWidth="1"/>
    <col min="5901" max="6144" width="11.42578125" style="831"/>
    <col min="6145" max="6145" width="1.7109375" style="831" customWidth="1"/>
    <col min="6146" max="6146" width="11.42578125" style="831"/>
    <col min="6147" max="6147" width="15.28515625" style="831" bestFit="1" customWidth="1"/>
    <col min="6148" max="6148" width="10.5703125" style="831" customWidth="1"/>
    <col min="6149" max="6149" width="19" style="831" customWidth="1"/>
    <col min="6150" max="6152" width="9.7109375" style="831" customWidth="1"/>
    <col min="6153" max="6153" width="10" style="831" customWidth="1"/>
    <col min="6154" max="6155" width="9.7109375" style="831" customWidth="1"/>
    <col min="6156" max="6156" width="7.85546875" style="831" customWidth="1"/>
    <col min="6157" max="6400" width="11.42578125" style="831"/>
    <col min="6401" max="6401" width="1.7109375" style="831" customWidth="1"/>
    <col min="6402" max="6402" width="11.42578125" style="831"/>
    <col min="6403" max="6403" width="15.28515625" style="831" bestFit="1" customWidth="1"/>
    <col min="6404" max="6404" width="10.5703125" style="831" customWidth="1"/>
    <col min="6405" max="6405" width="19" style="831" customWidth="1"/>
    <col min="6406" max="6408" width="9.7109375" style="831" customWidth="1"/>
    <col min="6409" max="6409" width="10" style="831" customWidth="1"/>
    <col min="6410" max="6411" width="9.7109375" style="831" customWidth="1"/>
    <col min="6412" max="6412" width="7.85546875" style="831" customWidth="1"/>
    <col min="6413" max="6656" width="11.42578125" style="831"/>
    <col min="6657" max="6657" width="1.7109375" style="831" customWidth="1"/>
    <col min="6658" max="6658" width="11.42578125" style="831"/>
    <col min="6659" max="6659" width="15.28515625" style="831" bestFit="1" customWidth="1"/>
    <col min="6660" max="6660" width="10.5703125" style="831" customWidth="1"/>
    <col min="6661" max="6661" width="19" style="831" customWidth="1"/>
    <col min="6662" max="6664" width="9.7109375" style="831" customWidth="1"/>
    <col min="6665" max="6665" width="10" style="831" customWidth="1"/>
    <col min="6666" max="6667" width="9.7109375" style="831" customWidth="1"/>
    <col min="6668" max="6668" width="7.85546875" style="831" customWidth="1"/>
    <col min="6669" max="6912" width="11.42578125" style="831"/>
    <col min="6913" max="6913" width="1.7109375" style="831" customWidth="1"/>
    <col min="6914" max="6914" width="11.42578125" style="831"/>
    <col min="6915" max="6915" width="15.28515625" style="831" bestFit="1" customWidth="1"/>
    <col min="6916" max="6916" width="10.5703125" style="831" customWidth="1"/>
    <col min="6917" max="6917" width="19" style="831" customWidth="1"/>
    <col min="6918" max="6920" width="9.7109375" style="831" customWidth="1"/>
    <col min="6921" max="6921" width="10" style="831" customWidth="1"/>
    <col min="6922" max="6923" width="9.7109375" style="831" customWidth="1"/>
    <col min="6924" max="6924" width="7.85546875" style="831" customWidth="1"/>
    <col min="6925" max="7168" width="11.42578125" style="831"/>
    <col min="7169" max="7169" width="1.7109375" style="831" customWidth="1"/>
    <col min="7170" max="7170" width="11.42578125" style="831"/>
    <col min="7171" max="7171" width="15.28515625" style="831" bestFit="1" customWidth="1"/>
    <col min="7172" max="7172" width="10.5703125" style="831" customWidth="1"/>
    <col min="7173" max="7173" width="19" style="831" customWidth="1"/>
    <col min="7174" max="7176" width="9.7109375" style="831" customWidth="1"/>
    <col min="7177" max="7177" width="10" style="831" customWidth="1"/>
    <col min="7178" max="7179" width="9.7109375" style="831" customWidth="1"/>
    <col min="7180" max="7180" width="7.85546875" style="831" customWidth="1"/>
    <col min="7181" max="7424" width="11.42578125" style="831"/>
    <col min="7425" max="7425" width="1.7109375" style="831" customWidth="1"/>
    <col min="7426" max="7426" width="11.42578125" style="831"/>
    <col min="7427" max="7427" width="15.28515625" style="831" bestFit="1" customWidth="1"/>
    <col min="7428" max="7428" width="10.5703125" style="831" customWidth="1"/>
    <col min="7429" max="7429" width="19" style="831" customWidth="1"/>
    <col min="7430" max="7432" width="9.7109375" style="831" customWidth="1"/>
    <col min="7433" max="7433" width="10" style="831" customWidth="1"/>
    <col min="7434" max="7435" width="9.7109375" style="831" customWidth="1"/>
    <col min="7436" max="7436" width="7.85546875" style="831" customWidth="1"/>
    <col min="7437" max="7680" width="11.42578125" style="831"/>
    <col min="7681" max="7681" width="1.7109375" style="831" customWidth="1"/>
    <col min="7682" max="7682" width="11.42578125" style="831"/>
    <col min="7683" max="7683" width="15.28515625" style="831" bestFit="1" customWidth="1"/>
    <col min="7684" max="7684" width="10.5703125" style="831" customWidth="1"/>
    <col min="7685" max="7685" width="19" style="831" customWidth="1"/>
    <col min="7686" max="7688" width="9.7109375" style="831" customWidth="1"/>
    <col min="7689" max="7689" width="10" style="831" customWidth="1"/>
    <col min="7690" max="7691" width="9.7109375" style="831" customWidth="1"/>
    <col min="7692" max="7692" width="7.85546875" style="831" customWidth="1"/>
    <col min="7693" max="7936" width="11.42578125" style="831"/>
    <col min="7937" max="7937" width="1.7109375" style="831" customWidth="1"/>
    <col min="7938" max="7938" width="11.42578125" style="831"/>
    <col min="7939" max="7939" width="15.28515625" style="831" bestFit="1" customWidth="1"/>
    <col min="7940" max="7940" width="10.5703125" style="831" customWidth="1"/>
    <col min="7941" max="7941" width="19" style="831" customWidth="1"/>
    <col min="7942" max="7944" width="9.7109375" style="831" customWidth="1"/>
    <col min="7945" max="7945" width="10" style="831" customWidth="1"/>
    <col min="7946" max="7947" width="9.7109375" style="831" customWidth="1"/>
    <col min="7948" max="7948" width="7.85546875" style="831" customWidth="1"/>
    <col min="7949" max="8192" width="11.42578125" style="831"/>
    <col min="8193" max="8193" width="1.7109375" style="831" customWidth="1"/>
    <col min="8194" max="8194" width="11.42578125" style="831"/>
    <col min="8195" max="8195" width="15.28515625" style="831" bestFit="1" customWidth="1"/>
    <col min="8196" max="8196" width="10.5703125" style="831" customWidth="1"/>
    <col min="8197" max="8197" width="19" style="831" customWidth="1"/>
    <col min="8198" max="8200" width="9.7109375" style="831" customWidth="1"/>
    <col min="8201" max="8201" width="10" style="831" customWidth="1"/>
    <col min="8202" max="8203" width="9.7109375" style="831" customWidth="1"/>
    <col min="8204" max="8204" width="7.85546875" style="831" customWidth="1"/>
    <col min="8205" max="8448" width="11.42578125" style="831"/>
    <col min="8449" max="8449" width="1.7109375" style="831" customWidth="1"/>
    <col min="8450" max="8450" width="11.42578125" style="831"/>
    <col min="8451" max="8451" width="15.28515625" style="831" bestFit="1" customWidth="1"/>
    <col min="8452" max="8452" width="10.5703125" style="831" customWidth="1"/>
    <col min="8453" max="8453" width="19" style="831" customWidth="1"/>
    <col min="8454" max="8456" width="9.7109375" style="831" customWidth="1"/>
    <col min="8457" max="8457" width="10" style="831" customWidth="1"/>
    <col min="8458" max="8459" width="9.7109375" style="831" customWidth="1"/>
    <col min="8460" max="8460" width="7.85546875" style="831" customWidth="1"/>
    <col min="8461" max="8704" width="11.42578125" style="831"/>
    <col min="8705" max="8705" width="1.7109375" style="831" customWidth="1"/>
    <col min="8706" max="8706" width="11.42578125" style="831"/>
    <col min="8707" max="8707" width="15.28515625" style="831" bestFit="1" customWidth="1"/>
    <col min="8708" max="8708" width="10.5703125" style="831" customWidth="1"/>
    <col min="8709" max="8709" width="19" style="831" customWidth="1"/>
    <col min="8710" max="8712" width="9.7109375" style="831" customWidth="1"/>
    <col min="8713" max="8713" width="10" style="831" customWidth="1"/>
    <col min="8714" max="8715" width="9.7109375" style="831" customWidth="1"/>
    <col min="8716" max="8716" width="7.85546875" style="831" customWidth="1"/>
    <col min="8717" max="8960" width="11.42578125" style="831"/>
    <col min="8961" max="8961" width="1.7109375" style="831" customWidth="1"/>
    <col min="8962" max="8962" width="11.42578125" style="831"/>
    <col min="8963" max="8963" width="15.28515625" style="831" bestFit="1" customWidth="1"/>
    <col min="8964" max="8964" width="10.5703125" style="831" customWidth="1"/>
    <col min="8965" max="8965" width="19" style="831" customWidth="1"/>
    <col min="8966" max="8968" width="9.7109375" style="831" customWidth="1"/>
    <col min="8969" max="8969" width="10" style="831" customWidth="1"/>
    <col min="8970" max="8971" width="9.7109375" style="831" customWidth="1"/>
    <col min="8972" max="8972" width="7.85546875" style="831" customWidth="1"/>
    <col min="8973" max="9216" width="11.42578125" style="831"/>
    <col min="9217" max="9217" width="1.7109375" style="831" customWidth="1"/>
    <col min="9218" max="9218" width="11.42578125" style="831"/>
    <col min="9219" max="9219" width="15.28515625" style="831" bestFit="1" customWidth="1"/>
    <col min="9220" max="9220" width="10.5703125" style="831" customWidth="1"/>
    <col min="9221" max="9221" width="19" style="831" customWidth="1"/>
    <col min="9222" max="9224" width="9.7109375" style="831" customWidth="1"/>
    <col min="9225" max="9225" width="10" style="831" customWidth="1"/>
    <col min="9226" max="9227" width="9.7109375" style="831" customWidth="1"/>
    <col min="9228" max="9228" width="7.85546875" style="831" customWidth="1"/>
    <col min="9229" max="9472" width="11.42578125" style="831"/>
    <col min="9473" max="9473" width="1.7109375" style="831" customWidth="1"/>
    <col min="9474" max="9474" width="11.42578125" style="831"/>
    <col min="9475" max="9475" width="15.28515625" style="831" bestFit="1" customWidth="1"/>
    <col min="9476" max="9476" width="10.5703125" style="831" customWidth="1"/>
    <col min="9477" max="9477" width="19" style="831" customWidth="1"/>
    <col min="9478" max="9480" width="9.7109375" style="831" customWidth="1"/>
    <col min="9481" max="9481" width="10" style="831" customWidth="1"/>
    <col min="9482" max="9483" width="9.7109375" style="831" customWidth="1"/>
    <col min="9484" max="9484" width="7.85546875" style="831" customWidth="1"/>
    <col min="9485" max="9728" width="11.42578125" style="831"/>
    <col min="9729" max="9729" width="1.7109375" style="831" customWidth="1"/>
    <col min="9730" max="9730" width="11.42578125" style="831"/>
    <col min="9731" max="9731" width="15.28515625" style="831" bestFit="1" customWidth="1"/>
    <col min="9732" max="9732" width="10.5703125" style="831" customWidth="1"/>
    <col min="9733" max="9733" width="19" style="831" customWidth="1"/>
    <col min="9734" max="9736" width="9.7109375" style="831" customWidth="1"/>
    <col min="9737" max="9737" width="10" style="831" customWidth="1"/>
    <col min="9738" max="9739" width="9.7109375" style="831" customWidth="1"/>
    <col min="9740" max="9740" width="7.85546875" style="831" customWidth="1"/>
    <col min="9741" max="9984" width="11.42578125" style="831"/>
    <col min="9985" max="9985" width="1.7109375" style="831" customWidth="1"/>
    <col min="9986" max="9986" width="11.42578125" style="831"/>
    <col min="9987" max="9987" width="15.28515625" style="831" bestFit="1" customWidth="1"/>
    <col min="9988" max="9988" width="10.5703125" style="831" customWidth="1"/>
    <col min="9989" max="9989" width="19" style="831" customWidth="1"/>
    <col min="9990" max="9992" width="9.7109375" style="831" customWidth="1"/>
    <col min="9993" max="9993" width="10" style="831" customWidth="1"/>
    <col min="9994" max="9995" width="9.7109375" style="831" customWidth="1"/>
    <col min="9996" max="9996" width="7.85546875" style="831" customWidth="1"/>
    <col min="9997" max="10240" width="11.42578125" style="831"/>
    <col min="10241" max="10241" width="1.7109375" style="831" customWidth="1"/>
    <col min="10242" max="10242" width="11.42578125" style="831"/>
    <col min="10243" max="10243" width="15.28515625" style="831" bestFit="1" customWidth="1"/>
    <col min="10244" max="10244" width="10.5703125" style="831" customWidth="1"/>
    <col min="10245" max="10245" width="19" style="831" customWidth="1"/>
    <col min="10246" max="10248" width="9.7109375" style="831" customWidth="1"/>
    <col min="10249" max="10249" width="10" style="831" customWidth="1"/>
    <col min="10250" max="10251" width="9.7109375" style="831" customWidth="1"/>
    <col min="10252" max="10252" width="7.85546875" style="831" customWidth="1"/>
    <col min="10253" max="10496" width="11.42578125" style="831"/>
    <col min="10497" max="10497" width="1.7109375" style="831" customWidth="1"/>
    <col min="10498" max="10498" width="11.42578125" style="831"/>
    <col min="10499" max="10499" width="15.28515625" style="831" bestFit="1" customWidth="1"/>
    <col min="10500" max="10500" width="10.5703125" style="831" customWidth="1"/>
    <col min="10501" max="10501" width="19" style="831" customWidth="1"/>
    <col min="10502" max="10504" width="9.7109375" style="831" customWidth="1"/>
    <col min="10505" max="10505" width="10" style="831" customWidth="1"/>
    <col min="10506" max="10507" width="9.7109375" style="831" customWidth="1"/>
    <col min="10508" max="10508" width="7.85546875" style="831" customWidth="1"/>
    <col min="10509" max="10752" width="11.42578125" style="831"/>
    <col min="10753" max="10753" width="1.7109375" style="831" customWidth="1"/>
    <col min="10754" max="10754" width="11.42578125" style="831"/>
    <col min="10755" max="10755" width="15.28515625" style="831" bestFit="1" customWidth="1"/>
    <col min="10756" max="10756" width="10.5703125" style="831" customWidth="1"/>
    <col min="10757" max="10757" width="19" style="831" customWidth="1"/>
    <col min="10758" max="10760" width="9.7109375" style="831" customWidth="1"/>
    <col min="10761" max="10761" width="10" style="831" customWidth="1"/>
    <col min="10762" max="10763" width="9.7109375" style="831" customWidth="1"/>
    <col min="10764" max="10764" width="7.85546875" style="831" customWidth="1"/>
    <col min="10765" max="11008" width="11.42578125" style="831"/>
    <col min="11009" max="11009" width="1.7109375" style="831" customWidth="1"/>
    <col min="11010" max="11010" width="11.42578125" style="831"/>
    <col min="11011" max="11011" width="15.28515625" style="831" bestFit="1" customWidth="1"/>
    <col min="11012" max="11012" width="10.5703125" style="831" customWidth="1"/>
    <col min="11013" max="11013" width="19" style="831" customWidth="1"/>
    <col min="11014" max="11016" width="9.7109375" style="831" customWidth="1"/>
    <col min="11017" max="11017" width="10" style="831" customWidth="1"/>
    <col min="11018" max="11019" width="9.7109375" style="831" customWidth="1"/>
    <col min="11020" max="11020" width="7.85546875" style="831" customWidth="1"/>
    <col min="11021" max="11264" width="11.42578125" style="831"/>
    <col min="11265" max="11265" width="1.7109375" style="831" customWidth="1"/>
    <col min="11266" max="11266" width="11.42578125" style="831"/>
    <col min="11267" max="11267" width="15.28515625" style="831" bestFit="1" customWidth="1"/>
    <col min="11268" max="11268" width="10.5703125" style="831" customWidth="1"/>
    <col min="11269" max="11269" width="19" style="831" customWidth="1"/>
    <col min="11270" max="11272" width="9.7109375" style="831" customWidth="1"/>
    <col min="11273" max="11273" width="10" style="831" customWidth="1"/>
    <col min="11274" max="11275" width="9.7109375" style="831" customWidth="1"/>
    <col min="11276" max="11276" width="7.85546875" style="831" customWidth="1"/>
    <col min="11277" max="11520" width="11.42578125" style="831"/>
    <col min="11521" max="11521" width="1.7109375" style="831" customWidth="1"/>
    <col min="11522" max="11522" width="11.42578125" style="831"/>
    <col min="11523" max="11523" width="15.28515625" style="831" bestFit="1" customWidth="1"/>
    <col min="11524" max="11524" width="10.5703125" style="831" customWidth="1"/>
    <col min="11525" max="11525" width="19" style="831" customWidth="1"/>
    <col min="11526" max="11528" width="9.7109375" style="831" customWidth="1"/>
    <col min="11529" max="11529" width="10" style="831" customWidth="1"/>
    <col min="11530" max="11531" width="9.7109375" style="831" customWidth="1"/>
    <col min="11532" max="11532" width="7.85546875" style="831" customWidth="1"/>
    <col min="11533" max="11776" width="11.42578125" style="831"/>
    <col min="11777" max="11777" width="1.7109375" style="831" customWidth="1"/>
    <col min="11778" max="11778" width="11.42578125" style="831"/>
    <col min="11779" max="11779" width="15.28515625" style="831" bestFit="1" customWidth="1"/>
    <col min="11780" max="11780" width="10.5703125" style="831" customWidth="1"/>
    <col min="11781" max="11781" width="19" style="831" customWidth="1"/>
    <col min="11782" max="11784" width="9.7109375" style="831" customWidth="1"/>
    <col min="11785" max="11785" width="10" style="831" customWidth="1"/>
    <col min="11786" max="11787" width="9.7109375" style="831" customWidth="1"/>
    <col min="11788" max="11788" width="7.85546875" style="831" customWidth="1"/>
    <col min="11789" max="12032" width="11.42578125" style="831"/>
    <col min="12033" max="12033" width="1.7109375" style="831" customWidth="1"/>
    <col min="12034" max="12034" width="11.42578125" style="831"/>
    <col min="12035" max="12035" width="15.28515625" style="831" bestFit="1" customWidth="1"/>
    <col min="12036" max="12036" width="10.5703125" style="831" customWidth="1"/>
    <col min="12037" max="12037" width="19" style="831" customWidth="1"/>
    <col min="12038" max="12040" width="9.7109375" style="831" customWidth="1"/>
    <col min="12041" max="12041" width="10" style="831" customWidth="1"/>
    <col min="12042" max="12043" width="9.7109375" style="831" customWidth="1"/>
    <col min="12044" max="12044" width="7.85546875" style="831" customWidth="1"/>
    <col min="12045" max="12288" width="11.42578125" style="831"/>
    <col min="12289" max="12289" width="1.7109375" style="831" customWidth="1"/>
    <col min="12290" max="12290" width="11.42578125" style="831"/>
    <col min="12291" max="12291" width="15.28515625" style="831" bestFit="1" customWidth="1"/>
    <col min="12292" max="12292" width="10.5703125" style="831" customWidth="1"/>
    <col min="12293" max="12293" width="19" style="831" customWidth="1"/>
    <col min="12294" max="12296" width="9.7109375" style="831" customWidth="1"/>
    <col min="12297" max="12297" width="10" style="831" customWidth="1"/>
    <col min="12298" max="12299" width="9.7109375" style="831" customWidth="1"/>
    <col min="12300" max="12300" width="7.85546875" style="831" customWidth="1"/>
    <col min="12301" max="12544" width="11.42578125" style="831"/>
    <col min="12545" max="12545" width="1.7109375" style="831" customWidth="1"/>
    <col min="12546" max="12546" width="11.42578125" style="831"/>
    <col min="12547" max="12547" width="15.28515625" style="831" bestFit="1" customWidth="1"/>
    <col min="12548" max="12548" width="10.5703125" style="831" customWidth="1"/>
    <col min="12549" max="12549" width="19" style="831" customWidth="1"/>
    <col min="12550" max="12552" width="9.7109375" style="831" customWidth="1"/>
    <col min="12553" max="12553" width="10" style="831" customWidth="1"/>
    <col min="12554" max="12555" width="9.7109375" style="831" customWidth="1"/>
    <col min="12556" max="12556" width="7.85546875" style="831" customWidth="1"/>
    <col min="12557" max="12800" width="11.42578125" style="831"/>
    <col min="12801" max="12801" width="1.7109375" style="831" customWidth="1"/>
    <col min="12802" max="12802" width="11.42578125" style="831"/>
    <col min="12803" max="12803" width="15.28515625" style="831" bestFit="1" customWidth="1"/>
    <col min="12804" max="12804" width="10.5703125" style="831" customWidth="1"/>
    <col min="12805" max="12805" width="19" style="831" customWidth="1"/>
    <col min="12806" max="12808" width="9.7109375" style="831" customWidth="1"/>
    <col min="12809" max="12809" width="10" style="831" customWidth="1"/>
    <col min="12810" max="12811" width="9.7109375" style="831" customWidth="1"/>
    <col min="12812" max="12812" width="7.85546875" style="831" customWidth="1"/>
    <col min="12813" max="13056" width="11.42578125" style="831"/>
    <col min="13057" max="13057" width="1.7109375" style="831" customWidth="1"/>
    <col min="13058" max="13058" width="11.42578125" style="831"/>
    <col min="13059" max="13059" width="15.28515625" style="831" bestFit="1" customWidth="1"/>
    <col min="13060" max="13060" width="10.5703125" style="831" customWidth="1"/>
    <col min="13061" max="13061" width="19" style="831" customWidth="1"/>
    <col min="13062" max="13064" width="9.7109375" style="831" customWidth="1"/>
    <col min="13065" max="13065" width="10" style="831" customWidth="1"/>
    <col min="13066" max="13067" width="9.7109375" style="831" customWidth="1"/>
    <col min="13068" max="13068" width="7.85546875" style="831" customWidth="1"/>
    <col min="13069" max="13312" width="11.42578125" style="831"/>
    <col min="13313" max="13313" width="1.7109375" style="831" customWidth="1"/>
    <col min="13314" max="13314" width="11.42578125" style="831"/>
    <col min="13315" max="13315" width="15.28515625" style="831" bestFit="1" customWidth="1"/>
    <col min="13316" max="13316" width="10.5703125" style="831" customWidth="1"/>
    <col min="13317" max="13317" width="19" style="831" customWidth="1"/>
    <col min="13318" max="13320" width="9.7109375" style="831" customWidth="1"/>
    <col min="13321" max="13321" width="10" style="831" customWidth="1"/>
    <col min="13322" max="13323" width="9.7109375" style="831" customWidth="1"/>
    <col min="13324" max="13324" width="7.85546875" style="831" customWidth="1"/>
    <col min="13325" max="13568" width="11.42578125" style="831"/>
    <col min="13569" max="13569" width="1.7109375" style="831" customWidth="1"/>
    <col min="13570" max="13570" width="11.42578125" style="831"/>
    <col min="13571" max="13571" width="15.28515625" style="831" bestFit="1" customWidth="1"/>
    <col min="13572" max="13572" width="10.5703125" style="831" customWidth="1"/>
    <col min="13573" max="13573" width="19" style="831" customWidth="1"/>
    <col min="13574" max="13576" width="9.7109375" style="831" customWidth="1"/>
    <col min="13577" max="13577" width="10" style="831" customWidth="1"/>
    <col min="13578" max="13579" width="9.7109375" style="831" customWidth="1"/>
    <col min="13580" max="13580" width="7.85546875" style="831" customWidth="1"/>
    <col min="13581" max="13824" width="11.42578125" style="831"/>
    <col min="13825" max="13825" width="1.7109375" style="831" customWidth="1"/>
    <col min="13826" max="13826" width="11.42578125" style="831"/>
    <col min="13827" max="13827" width="15.28515625" style="831" bestFit="1" customWidth="1"/>
    <col min="13828" max="13828" width="10.5703125" style="831" customWidth="1"/>
    <col min="13829" max="13829" width="19" style="831" customWidth="1"/>
    <col min="13830" max="13832" width="9.7109375" style="831" customWidth="1"/>
    <col min="13833" max="13833" width="10" style="831" customWidth="1"/>
    <col min="13834" max="13835" width="9.7109375" style="831" customWidth="1"/>
    <col min="13836" max="13836" width="7.85546875" style="831" customWidth="1"/>
    <col min="13837" max="14080" width="11.42578125" style="831"/>
    <col min="14081" max="14081" width="1.7109375" style="831" customWidth="1"/>
    <col min="14082" max="14082" width="11.42578125" style="831"/>
    <col min="14083" max="14083" width="15.28515625" style="831" bestFit="1" customWidth="1"/>
    <col min="14084" max="14084" width="10.5703125" style="831" customWidth="1"/>
    <col min="14085" max="14085" width="19" style="831" customWidth="1"/>
    <col min="14086" max="14088" width="9.7109375" style="831" customWidth="1"/>
    <col min="14089" max="14089" width="10" style="831" customWidth="1"/>
    <col min="14090" max="14091" width="9.7109375" style="831" customWidth="1"/>
    <col min="14092" max="14092" width="7.85546875" style="831" customWidth="1"/>
    <col min="14093" max="14336" width="11.42578125" style="831"/>
    <col min="14337" max="14337" width="1.7109375" style="831" customWidth="1"/>
    <col min="14338" max="14338" width="11.42578125" style="831"/>
    <col min="14339" max="14339" width="15.28515625" style="831" bestFit="1" customWidth="1"/>
    <col min="14340" max="14340" width="10.5703125" style="831" customWidth="1"/>
    <col min="14341" max="14341" width="19" style="831" customWidth="1"/>
    <col min="14342" max="14344" width="9.7109375" style="831" customWidth="1"/>
    <col min="14345" max="14345" width="10" style="831" customWidth="1"/>
    <col min="14346" max="14347" width="9.7109375" style="831" customWidth="1"/>
    <col min="14348" max="14348" width="7.85546875" style="831" customWidth="1"/>
    <col min="14349" max="14592" width="11.42578125" style="831"/>
    <col min="14593" max="14593" width="1.7109375" style="831" customWidth="1"/>
    <col min="14594" max="14594" width="11.42578125" style="831"/>
    <col min="14595" max="14595" width="15.28515625" style="831" bestFit="1" customWidth="1"/>
    <col min="14596" max="14596" width="10.5703125" style="831" customWidth="1"/>
    <col min="14597" max="14597" width="19" style="831" customWidth="1"/>
    <col min="14598" max="14600" width="9.7109375" style="831" customWidth="1"/>
    <col min="14601" max="14601" width="10" style="831" customWidth="1"/>
    <col min="14602" max="14603" width="9.7109375" style="831" customWidth="1"/>
    <col min="14604" max="14604" width="7.85546875" style="831" customWidth="1"/>
    <col min="14605" max="14848" width="11.42578125" style="831"/>
    <col min="14849" max="14849" width="1.7109375" style="831" customWidth="1"/>
    <col min="14850" max="14850" width="11.42578125" style="831"/>
    <col min="14851" max="14851" width="15.28515625" style="831" bestFit="1" customWidth="1"/>
    <col min="14852" max="14852" width="10.5703125" style="831" customWidth="1"/>
    <col min="14853" max="14853" width="19" style="831" customWidth="1"/>
    <col min="14854" max="14856" width="9.7109375" style="831" customWidth="1"/>
    <col min="14857" max="14857" width="10" style="831" customWidth="1"/>
    <col min="14858" max="14859" width="9.7109375" style="831" customWidth="1"/>
    <col min="14860" max="14860" width="7.85546875" style="831" customWidth="1"/>
    <col min="14861" max="15104" width="11.42578125" style="831"/>
    <col min="15105" max="15105" width="1.7109375" style="831" customWidth="1"/>
    <col min="15106" max="15106" width="11.42578125" style="831"/>
    <col min="15107" max="15107" width="15.28515625" style="831" bestFit="1" customWidth="1"/>
    <col min="15108" max="15108" width="10.5703125" style="831" customWidth="1"/>
    <col min="15109" max="15109" width="19" style="831" customWidth="1"/>
    <col min="15110" max="15112" width="9.7109375" style="831" customWidth="1"/>
    <col min="15113" max="15113" width="10" style="831" customWidth="1"/>
    <col min="15114" max="15115" width="9.7109375" style="831" customWidth="1"/>
    <col min="15116" max="15116" width="7.85546875" style="831" customWidth="1"/>
    <col min="15117" max="15360" width="11.42578125" style="831"/>
    <col min="15361" max="15361" width="1.7109375" style="831" customWidth="1"/>
    <col min="15362" max="15362" width="11.42578125" style="831"/>
    <col min="15363" max="15363" width="15.28515625" style="831" bestFit="1" customWidth="1"/>
    <col min="15364" max="15364" width="10.5703125" style="831" customWidth="1"/>
    <col min="15365" max="15365" width="19" style="831" customWidth="1"/>
    <col min="15366" max="15368" width="9.7109375" style="831" customWidth="1"/>
    <col min="15369" max="15369" width="10" style="831" customWidth="1"/>
    <col min="15370" max="15371" width="9.7109375" style="831" customWidth="1"/>
    <col min="15372" max="15372" width="7.85546875" style="831" customWidth="1"/>
    <col min="15373" max="15616" width="11.42578125" style="831"/>
    <col min="15617" max="15617" width="1.7109375" style="831" customWidth="1"/>
    <col min="15618" max="15618" width="11.42578125" style="831"/>
    <col min="15619" max="15619" width="15.28515625" style="831" bestFit="1" customWidth="1"/>
    <col min="15620" max="15620" width="10.5703125" style="831" customWidth="1"/>
    <col min="15621" max="15621" width="19" style="831" customWidth="1"/>
    <col min="15622" max="15624" width="9.7109375" style="831" customWidth="1"/>
    <col min="15625" max="15625" width="10" style="831" customWidth="1"/>
    <col min="15626" max="15627" width="9.7109375" style="831" customWidth="1"/>
    <col min="15628" max="15628" width="7.85546875" style="831" customWidth="1"/>
    <col min="15629" max="15872" width="11.42578125" style="831"/>
    <col min="15873" max="15873" width="1.7109375" style="831" customWidth="1"/>
    <col min="15874" max="15874" width="11.42578125" style="831"/>
    <col min="15875" max="15875" width="15.28515625" style="831" bestFit="1" customWidth="1"/>
    <col min="15876" max="15876" width="10.5703125" style="831" customWidth="1"/>
    <col min="15877" max="15877" width="19" style="831" customWidth="1"/>
    <col min="15878" max="15880" width="9.7109375" style="831" customWidth="1"/>
    <col min="15881" max="15881" width="10" style="831" customWidth="1"/>
    <col min="15882" max="15883" width="9.7109375" style="831" customWidth="1"/>
    <col min="15884" max="15884" width="7.85546875" style="831" customWidth="1"/>
    <col min="15885" max="16128" width="11.42578125" style="831"/>
    <col min="16129" max="16129" width="1.7109375" style="831" customWidth="1"/>
    <col min="16130" max="16130" width="11.42578125" style="831"/>
    <col min="16131" max="16131" width="15.28515625" style="831" bestFit="1" customWidth="1"/>
    <col min="16132" max="16132" width="10.5703125" style="831" customWidth="1"/>
    <col min="16133" max="16133" width="19" style="831" customWidth="1"/>
    <col min="16134" max="16136" width="9.7109375" style="831" customWidth="1"/>
    <col min="16137" max="16137" width="10" style="831" customWidth="1"/>
    <col min="16138" max="16139" width="9.7109375" style="831" customWidth="1"/>
    <col min="16140" max="16140" width="7.85546875" style="831" customWidth="1"/>
    <col min="16141" max="16384" width="11.42578125" style="831"/>
  </cols>
  <sheetData>
    <row r="1" spans="1:12" ht="9" customHeight="1">
      <c r="A1" s="1727"/>
      <c r="B1" s="1728"/>
      <c r="C1" s="1727"/>
      <c r="D1" s="1727"/>
      <c r="E1" s="1727"/>
      <c r="F1" s="1727"/>
      <c r="G1" s="1727"/>
      <c r="H1" s="1727"/>
      <c r="J1" s="1727"/>
      <c r="K1" s="1727"/>
      <c r="L1" s="1727"/>
    </row>
    <row r="2" spans="1:12" ht="26.25">
      <c r="B2" s="1729" t="s">
        <v>1802</v>
      </c>
      <c r="C2" s="1730">
        <f ca="1">NOW()</f>
        <v>43100.797994907407</v>
      </c>
      <c r="D2" s="3349" t="s">
        <v>1803</v>
      </c>
      <c r="E2" s="3350"/>
      <c r="F2" s="3350"/>
      <c r="G2" s="3350"/>
      <c r="H2" s="3350"/>
      <c r="I2" s="3350"/>
      <c r="J2" s="1731" t="s">
        <v>1804</v>
      </c>
      <c r="K2" s="1732" t="s">
        <v>70</v>
      </c>
      <c r="L2" s="1733">
        <v>1</v>
      </c>
    </row>
    <row r="3" spans="1:12" ht="9.9499999999999993" customHeight="1">
      <c r="B3" s="1734"/>
      <c r="C3" s="1734"/>
      <c r="D3" s="1734"/>
      <c r="E3" s="1734"/>
      <c r="F3" s="1734"/>
      <c r="G3" s="1734"/>
      <c r="H3" s="1734"/>
      <c r="J3" s="1734"/>
      <c r="K3" s="1734"/>
      <c r="L3" s="1734"/>
    </row>
    <row r="4" spans="1:12" ht="15">
      <c r="B4" s="1735" t="s">
        <v>353</v>
      </c>
      <c r="C4" s="1735" t="s">
        <v>352</v>
      </c>
      <c r="D4" s="1735" t="s">
        <v>356</v>
      </c>
      <c r="E4" s="1735" t="s">
        <v>961</v>
      </c>
      <c r="F4" s="1735" t="s">
        <v>357</v>
      </c>
      <c r="G4" s="1735" t="s">
        <v>825</v>
      </c>
      <c r="H4" s="1735" t="s">
        <v>1485</v>
      </c>
      <c r="I4" s="1735" t="s">
        <v>360</v>
      </c>
      <c r="J4" s="1735" t="s">
        <v>363</v>
      </c>
      <c r="K4" s="1735" t="s">
        <v>365</v>
      </c>
      <c r="L4" s="1735" t="s">
        <v>36</v>
      </c>
    </row>
    <row r="5" spans="1:12" s="755" customFormat="1" ht="20.25" customHeight="1">
      <c r="B5" s="1736" t="str">
        <f ca="1">CELL("nomfichier")</f>
        <v>F:\Bureau\pour UPRT 5 decembre\[re-boudins-blancs.xlsx]CONTENU</v>
      </c>
      <c r="C5" s="1737"/>
      <c r="D5" s="1737"/>
      <c r="E5" s="1738"/>
      <c r="F5" s="1738"/>
      <c r="G5" s="1738"/>
      <c r="H5" s="1738"/>
      <c r="I5" s="1738"/>
      <c r="J5" s="1738"/>
      <c r="K5" s="1738"/>
      <c r="L5" s="1739"/>
    </row>
    <row r="6" spans="1:12" ht="91.5" customHeight="1">
      <c r="B6" s="3351" t="s">
        <v>1805</v>
      </c>
      <c r="C6" s="3352"/>
      <c r="D6" s="3352"/>
      <c r="E6" s="3353"/>
      <c r="F6" s="1740" t="s">
        <v>1806</v>
      </c>
      <c r="G6" s="1740" t="s">
        <v>1807</v>
      </c>
      <c r="H6" s="1740" t="s">
        <v>1808</v>
      </c>
      <c r="I6" s="1741" t="s">
        <v>215</v>
      </c>
      <c r="J6" s="1740" t="s">
        <v>1809</v>
      </c>
      <c r="K6" s="1740" t="s">
        <v>1810</v>
      </c>
      <c r="L6" s="1742" t="s">
        <v>1811</v>
      </c>
    </row>
    <row r="7" spans="1:12" ht="20.100000000000001" customHeight="1">
      <c r="B7" s="1743" t="s">
        <v>1812</v>
      </c>
      <c r="C7" s="1744"/>
      <c r="D7" s="1744"/>
      <c r="E7" s="1744"/>
      <c r="F7" s="1745" t="s">
        <v>847</v>
      </c>
      <c r="G7" s="1745" t="s">
        <v>930</v>
      </c>
      <c r="H7" s="1746" t="s">
        <v>351</v>
      </c>
      <c r="I7" s="1746" t="s">
        <v>1813</v>
      </c>
      <c r="J7" s="1745" t="s">
        <v>1814</v>
      </c>
      <c r="K7" s="1745" t="s">
        <v>1815</v>
      </c>
      <c r="L7" s="1747" t="s">
        <v>1816</v>
      </c>
    </row>
    <row r="8" spans="1:12" ht="20.100000000000001" customHeight="1">
      <c r="B8" s="1748"/>
      <c r="C8" s="1749"/>
      <c r="D8" s="1749"/>
      <c r="E8" s="1750" t="s">
        <v>1817</v>
      </c>
      <c r="F8" s="1751">
        <v>0.04</v>
      </c>
      <c r="G8" s="1751">
        <v>0.05</v>
      </c>
      <c r="H8" s="1752">
        <v>0.08</v>
      </c>
      <c r="I8" s="1753">
        <f>(H8*L8%)+H8</f>
        <v>8.7999999999999995E-2</v>
      </c>
      <c r="J8" s="1754">
        <v>0.05</v>
      </c>
      <c r="K8" s="1754">
        <v>0.05</v>
      </c>
      <c r="L8" s="1755">
        <v>10</v>
      </c>
    </row>
    <row r="9" spans="1:12" s="830" customFormat="1" ht="20.100000000000001" customHeight="1">
      <c r="A9" s="831"/>
      <c r="B9" s="1756"/>
      <c r="C9" s="1749"/>
      <c r="D9" s="1749"/>
      <c r="E9" s="1757" t="s">
        <v>1818</v>
      </c>
      <c r="F9" s="1758">
        <v>0</v>
      </c>
      <c r="G9" s="1758">
        <v>0</v>
      </c>
      <c r="H9" s="1758">
        <v>0</v>
      </c>
      <c r="I9" s="1758">
        <v>0</v>
      </c>
      <c r="J9" s="1758">
        <v>0</v>
      </c>
      <c r="K9" s="1758">
        <v>0</v>
      </c>
      <c r="L9" s="1759">
        <v>0</v>
      </c>
    </row>
    <row r="10" spans="1:12" ht="20.100000000000001" customHeight="1">
      <c r="B10" s="1748"/>
      <c r="C10" s="1749"/>
      <c r="D10" s="1749"/>
      <c r="E10" s="1750" t="s">
        <v>1819</v>
      </c>
      <c r="F10" s="1760">
        <v>0.25</v>
      </c>
      <c r="G10" s="1760">
        <v>0.5</v>
      </c>
      <c r="H10" s="1761">
        <v>0.5</v>
      </c>
      <c r="I10" s="1753">
        <f t="shared" ref="I10:I22" si="0">(H10*L10%)+H10</f>
        <v>0.55000000000000004</v>
      </c>
      <c r="J10" s="1760">
        <v>0.5</v>
      </c>
      <c r="K10" s="1751">
        <v>0.5</v>
      </c>
      <c r="L10" s="1755">
        <v>10</v>
      </c>
    </row>
    <row r="11" spans="1:12" ht="20.100000000000001" customHeight="1">
      <c r="B11" s="1748"/>
      <c r="C11" s="1749"/>
      <c r="D11" s="1749"/>
      <c r="E11" s="1750" t="s">
        <v>1820</v>
      </c>
      <c r="F11" s="1760">
        <v>0.05</v>
      </c>
      <c r="G11" s="1760">
        <v>7.0000000000000007E-2</v>
      </c>
      <c r="H11" s="1761">
        <v>0.1</v>
      </c>
      <c r="I11" s="1753">
        <f t="shared" si="0"/>
        <v>0.11000000000000001</v>
      </c>
      <c r="J11" s="1760">
        <v>7.0000000000000007E-2</v>
      </c>
      <c r="K11" s="1751">
        <v>7.0000000000000007E-2</v>
      </c>
      <c r="L11" s="1755">
        <v>10</v>
      </c>
    </row>
    <row r="12" spans="1:12" ht="20.100000000000001" customHeight="1">
      <c r="B12" s="1748"/>
      <c r="C12" s="1749"/>
      <c r="D12" s="1749"/>
      <c r="E12" s="1750" t="s">
        <v>1821</v>
      </c>
      <c r="F12" s="1760">
        <v>0.04</v>
      </c>
      <c r="G12" s="1760">
        <v>0.06</v>
      </c>
      <c r="H12" s="1761">
        <v>0.1</v>
      </c>
      <c r="I12" s="1753">
        <f t="shared" si="0"/>
        <v>0.11000000000000001</v>
      </c>
      <c r="J12" s="1760">
        <v>0.08</v>
      </c>
      <c r="K12" s="1751">
        <v>0.08</v>
      </c>
      <c r="L12" s="1755">
        <v>10</v>
      </c>
    </row>
    <row r="13" spans="1:12" ht="20.100000000000001" customHeight="1">
      <c r="B13" s="1748"/>
      <c r="C13" s="1749"/>
      <c r="D13" s="1749"/>
      <c r="E13" s="1750" t="s">
        <v>938</v>
      </c>
      <c r="F13" s="1760">
        <v>0.06</v>
      </c>
      <c r="G13" s="1760">
        <v>0.08</v>
      </c>
      <c r="H13" s="1761">
        <v>0.1</v>
      </c>
      <c r="I13" s="1753">
        <f t="shared" si="0"/>
        <v>0.11000000000000001</v>
      </c>
      <c r="J13" s="1760">
        <v>0.09</v>
      </c>
      <c r="K13" s="1751">
        <v>0.09</v>
      </c>
      <c r="L13" s="1755">
        <v>10</v>
      </c>
    </row>
    <row r="14" spans="1:12" ht="20.100000000000001" customHeight="1">
      <c r="B14" s="1748"/>
      <c r="C14" s="1749"/>
      <c r="D14" s="1749"/>
      <c r="E14" s="1750" t="s">
        <v>1822</v>
      </c>
      <c r="F14" s="1760">
        <v>0.02</v>
      </c>
      <c r="G14" s="1760">
        <v>0.03</v>
      </c>
      <c r="H14" s="1761">
        <v>0.1</v>
      </c>
      <c r="I14" s="1753">
        <f t="shared" si="0"/>
        <v>0.11000000000000001</v>
      </c>
      <c r="J14" s="1760">
        <v>0.08</v>
      </c>
      <c r="K14" s="1751">
        <v>0.08</v>
      </c>
      <c r="L14" s="1755">
        <v>10</v>
      </c>
    </row>
    <row r="15" spans="1:12" ht="20.100000000000001" customHeight="1">
      <c r="B15" s="1748"/>
      <c r="C15" s="1749"/>
      <c r="D15" s="1749"/>
      <c r="E15" s="1750" t="s">
        <v>1823</v>
      </c>
      <c r="F15" s="1760">
        <v>0.12</v>
      </c>
      <c r="G15" s="1760">
        <v>0.15</v>
      </c>
      <c r="H15" s="1761">
        <v>0.18</v>
      </c>
      <c r="I15" s="1753">
        <f t="shared" si="0"/>
        <v>0.19799999999999998</v>
      </c>
      <c r="J15" s="1760">
        <v>0.15</v>
      </c>
      <c r="K15" s="1751">
        <v>0.15</v>
      </c>
      <c r="L15" s="1755">
        <v>10</v>
      </c>
    </row>
    <row r="16" spans="1:12" ht="20.100000000000001" customHeight="1">
      <c r="B16" s="1748"/>
      <c r="C16" s="1749"/>
      <c r="D16" s="1749"/>
      <c r="E16" s="1750" t="s">
        <v>1824</v>
      </c>
      <c r="F16" s="1760">
        <v>0.5</v>
      </c>
      <c r="G16" s="1760">
        <v>0.5</v>
      </c>
      <c r="H16" s="1761">
        <v>0.5</v>
      </c>
      <c r="I16" s="1753">
        <f t="shared" si="0"/>
        <v>0.55000000000000004</v>
      </c>
      <c r="J16" s="1760">
        <v>0.5</v>
      </c>
      <c r="K16" s="1751">
        <v>0.5</v>
      </c>
      <c r="L16" s="1755">
        <v>10</v>
      </c>
    </row>
    <row r="17" spans="1:12" ht="20.100000000000001" customHeight="1">
      <c r="B17" s="1748"/>
      <c r="C17" s="1749"/>
      <c r="D17" s="1749"/>
      <c r="E17" s="1750" t="s">
        <v>1184</v>
      </c>
      <c r="F17" s="1760">
        <v>0.03</v>
      </c>
      <c r="G17" s="1760">
        <v>0.05</v>
      </c>
      <c r="H17" s="1761">
        <v>0.09</v>
      </c>
      <c r="I17" s="1753">
        <f t="shared" si="0"/>
        <v>9.8999999999999991E-2</v>
      </c>
      <c r="J17" s="1760">
        <v>0.06</v>
      </c>
      <c r="K17" s="1751">
        <v>0.06</v>
      </c>
      <c r="L17" s="1755">
        <v>10</v>
      </c>
    </row>
    <row r="18" spans="1:12" ht="20.100000000000001" customHeight="1">
      <c r="B18" s="1748"/>
      <c r="C18" s="1749"/>
      <c r="D18" s="1749"/>
      <c r="E18" s="1750" t="s">
        <v>1825</v>
      </c>
      <c r="F18" s="1751">
        <v>2.5000000000000001E-2</v>
      </c>
      <c r="G18" s="1751">
        <v>0.03</v>
      </c>
      <c r="H18" s="1752">
        <v>0.05</v>
      </c>
      <c r="I18" s="1753">
        <f t="shared" si="0"/>
        <v>5.5000000000000007E-2</v>
      </c>
      <c r="J18" s="1760">
        <v>0.03</v>
      </c>
      <c r="K18" s="1760">
        <v>0.03</v>
      </c>
      <c r="L18" s="1755">
        <v>10</v>
      </c>
    </row>
    <row r="19" spans="1:12" ht="20.100000000000001" customHeight="1">
      <c r="B19" s="1748"/>
      <c r="C19" s="1749"/>
      <c r="D19" s="1749"/>
      <c r="E19" s="1750" t="s">
        <v>1246</v>
      </c>
      <c r="F19" s="1760">
        <v>0.06</v>
      </c>
      <c r="G19" s="1760">
        <v>0.08</v>
      </c>
      <c r="H19" s="1761">
        <v>0.11</v>
      </c>
      <c r="I19" s="1753">
        <f t="shared" si="0"/>
        <v>0.121</v>
      </c>
      <c r="J19" s="1760">
        <v>0.08</v>
      </c>
      <c r="K19" s="1751">
        <v>0.08</v>
      </c>
      <c r="L19" s="1755">
        <v>10</v>
      </c>
    </row>
    <row r="20" spans="1:12" ht="20.100000000000001" customHeight="1">
      <c r="B20" s="1748"/>
      <c r="C20" s="1749"/>
      <c r="D20" s="1749"/>
      <c r="E20" s="1750" t="s">
        <v>1826</v>
      </c>
      <c r="F20" s="1760">
        <v>0.04</v>
      </c>
      <c r="G20" s="1760">
        <v>0.06</v>
      </c>
      <c r="H20" s="1761">
        <v>0.09</v>
      </c>
      <c r="I20" s="1753">
        <f t="shared" si="0"/>
        <v>9.8999999999999991E-2</v>
      </c>
      <c r="J20" s="1760">
        <v>0.08</v>
      </c>
      <c r="K20" s="1751">
        <v>0.08</v>
      </c>
      <c r="L20" s="1755">
        <v>10</v>
      </c>
    </row>
    <row r="21" spans="1:12" ht="20.100000000000001" customHeight="1">
      <c r="B21" s="1748"/>
      <c r="C21" s="1749"/>
      <c r="D21" s="1749"/>
      <c r="E21" s="1750" t="s">
        <v>1827</v>
      </c>
      <c r="F21" s="1760">
        <v>0.04</v>
      </c>
      <c r="G21" s="1760">
        <v>0.06</v>
      </c>
      <c r="H21" s="1761">
        <v>0.09</v>
      </c>
      <c r="I21" s="1753">
        <f t="shared" si="0"/>
        <v>9.8999999999999991E-2</v>
      </c>
      <c r="J21" s="1760">
        <v>0.08</v>
      </c>
      <c r="K21" s="1751">
        <v>0.08</v>
      </c>
      <c r="L21" s="1755">
        <v>10</v>
      </c>
    </row>
    <row r="22" spans="1:12" ht="20.100000000000001" customHeight="1">
      <c r="B22" s="1748"/>
      <c r="C22" s="1749"/>
      <c r="D22" s="1749"/>
      <c r="E22" s="1750" t="s">
        <v>1200</v>
      </c>
      <c r="F22" s="1760">
        <v>0.04</v>
      </c>
      <c r="G22" s="1760">
        <v>0.06</v>
      </c>
      <c r="H22" s="1761">
        <v>0.09</v>
      </c>
      <c r="I22" s="1753">
        <f t="shared" si="0"/>
        <v>9.8999999999999991E-2</v>
      </c>
      <c r="J22" s="1760">
        <v>0.08</v>
      </c>
      <c r="K22" s="1751">
        <v>0.08</v>
      </c>
      <c r="L22" s="1755">
        <v>10</v>
      </c>
    </row>
    <row r="23" spans="1:12" s="830" customFormat="1" ht="20.100000000000001" customHeight="1">
      <c r="A23" s="831"/>
      <c r="B23" s="1756"/>
      <c r="C23" s="1749"/>
      <c r="D23" s="1749"/>
      <c r="E23" s="1762" t="s">
        <v>1828</v>
      </c>
      <c r="F23" s="1758">
        <v>0</v>
      </c>
      <c r="G23" s="1758">
        <v>0</v>
      </c>
      <c r="H23" s="1758">
        <v>0</v>
      </c>
      <c r="I23" s="1758">
        <v>0</v>
      </c>
      <c r="J23" s="1758">
        <v>0</v>
      </c>
      <c r="K23" s="1758">
        <v>0</v>
      </c>
      <c r="L23" s="1759">
        <v>0</v>
      </c>
    </row>
    <row r="24" spans="1:12" ht="20.100000000000001" customHeight="1">
      <c r="B24" s="1748"/>
      <c r="C24" s="1749"/>
      <c r="D24" s="1749"/>
      <c r="E24" s="1750" t="s">
        <v>1829</v>
      </c>
      <c r="F24" s="1760">
        <v>0.125</v>
      </c>
      <c r="G24" s="1760">
        <v>0.16600000000000001</v>
      </c>
      <c r="H24" s="1761">
        <v>0.25</v>
      </c>
      <c r="I24" s="1753">
        <f t="shared" ref="I24:I38" si="1">(H24*L24%)+H24</f>
        <v>0.27500000000000002</v>
      </c>
      <c r="J24" s="1760">
        <v>0.25</v>
      </c>
      <c r="K24" s="1751">
        <v>0.25</v>
      </c>
      <c r="L24" s="1755">
        <v>10</v>
      </c>
    </row>
    <row r="25" spans="1:12" ht="20.100000000000001" customHeight="1">
      <c r="B25" s="1748"/>
      <c r="C25" s="1749"/>
      <c r="D25" s="1749"/>
      <c r="E25" s="1750" t="s">
        <v>1830</v>
      </c>
      <c r="F25" s="1760">
        <v>0.5</v>
      </c>
      <c r="G25" s="1760">
        <v>0.5</v>
      </c>
      <c r="H25" s="1761">
        <v>1</v>
      </c>
      <c r="I25" s="1753">
        <f t="shared" si="1"/>
        <v>1.1000000000000001</v>
      </c>
      <c r="J25" s="1760">
        <v>1</v>
      </c>
      <c r="K25" s="1751">
        <v>1</v>
      </c>
      <c r="L25" s="1755">
        <v>10</v>
      </c>
    </row>
    <row r="26" spans="1:12" ht="20.100000000000001" customHeight="1">
      <c r="B26" s="1748"/>
      <c r="C26" s="1749"/>
      <c r="D26" s="1749"/>
      <c r="E26" s="1750" t="s">
        <v>1831</v>
      </c>
      <c r="F26" s="1760">
        <v>0.05</v>
      </c>
      <c r="G26" s="1760">
        <v>7.0000000000000007E-2</v>
      </c>
      <c r="H26" s="1761">
        <v>0.09</v>
      </c>
      <c r="I26" s="1753">
        <f t="shared" si="1"/>
        <v>9.8999999999999991E-2</v>
      </c>
      <c r="J26" s="1760">
        <v>0.08</v>
      </c>
      <c r="K26" s="1751">
        <v>0.08</v>
      </c>
      <c r="L26" s="1755">
        <v>10</v>
      </c>
    </row>
    <row r="27" spans="1:12" ht="20.100000000000001" customHeight="1">
      <c r="B27" s="1748"/>
      <c r="C27" s="1749"/>
      <c r="D27" s="1749"/>
      <c r="E27" s="1750" t="s">
        <v>1799</v>
      </c>
      <c r="F27" s="1760">
        <v>0.05</v>
      </c>
      <c r="G27" s="1760">
        <v>7.0000000000000007E-2</v>
      </c>
      <c r="H27" s="1761">
        <v>0.09</v>
      </c>
      <c r="I27" s="1753">
        <f t="shared" si="1"/>
        <v>9.8999999999999991E-2</v>
      </c>
      <c r="J27" s="1760">
        <v>0.08</v>
      </c>
      <c r="K27" s="1751">
        <v>0.08</v>
      </c>
      <c r="L27" s="1755">
        <v>10</v>
      </c>
    </row>
    <row r="28" spans="1:12" ht="20.100000000000001" customHeight="1">
      <c r="B28" s="1748"/>
      <c r="C28" s="1749"/>
      <c r="D28" s="1749"/>
      <c r="E28" s="1750" t="s">
        <v>1800</v>
      </c>
      <c r="F28" s="1760">
        <v>0.05</v>
      </c>
      <c r="G28" s="1760">
        <v>7.0000000000000007E-2</v>
      </c>
      <c r="H28" s="1761">
        <v>0.1</v>
      </c>
      <c r="I28" s="1753">
        <f t="shared" si="1"/>
        <v>0.11000000000000001</v>
      </c>
      <c r="J28" s="1760">
        <v>0.08</v>
      </c>
      <c r="K28" s="1751">
        <v>0.08</v>
      </c>
      <c r="L28" s="1755">
        <v>10</v>
      </c>
    </row>
    <row r="29" spans="1:12" ht="20.100000000000001" customHeight="1">
      <c r="B29" s="1748"/>
      <c r="C29" s="1749"/>
      <c r="D29" s="1749"/>
      <c r="E29" s="1750" t="s">
        <v>1832</v>
      </c>
      <c r="F29" s="1760">
        <v>0.05</v>
      </c>
      <c r="G29" s="1760">
        <v>7.0000000000000007E-2</v>
      </c>
      <c r="H29" s="1761">
        <v>0.1</v>
      </c>
      <c r="I29" s="1753">
        <f t="shared" si="1"/>
        <v>0.11000000000000001</v>
      </c>
      <c r="J29" s="1760">
        <v>0.08</v>
      </c>
      <c r="K29" s="1751">
        <v>0.08</v>
      </c>
      <c r="L29" s="1755">
        <v>10</v>
      </c>
    </row>
    <row r="30" spans="1:12" ht="20.100000000000001" customHeight="1">
      <c r="B30" s="1748"/>
      <c r="C30" s="1749"/>
      <c r="D30" s="1749"/>
      <c r="E30" s="1750" t="s">
        <v>1801</v>
      </c>
      <c r="F30" s="1760">
        <v>0.05</v>
      </c>
      <c r="G30" s="1760">
        <v>7.0000000000000007E-2</v>
      </c>
      <c r="H30" s="1761">
        <v>0.11</v>
      </c>
      <c r="I30" s="1753">
        <f t="shared" si="1"/>
        <v>0.121</v>
      </c>
      <c r="J30" s="1760">
        <v>0.08</v>
      </c>
      <c r="K30" s="1751">
        <v>0.08</v>
      </c>
      <c r="L30" s="1755">
        <v>10</v>
      </c>
    </row>
    <row r="31" spans="1:12" ht="20.100000000000001" customHeight="1">
      <c r="B31" s="1748"/>
      <c r="C31" s="1749"/>
      <c r="D31" s="1749"/>
      <c r="E31" s="1750" t="s">
        <v>1833</v>
      </c>
      <c r="F31" s="1760">
        <v>0.05</v>
      </c>
      <c r="G31" s="1760">
        <v>7.0000000000000007E-2</v>
      </c>
      <c r="H31" s="1761">
        <v>0.1</v>
      </c>
      <c r="I31" s="1753">
        <f t="shared" si="1"/>
        <v>0.11000000000000001</v>
      </c>
      <c r="J31" s="1760">
        <v>0.08</v>
      </c>
      <c r="K31" s="1751">
        <v>0.08</v>
      </c>
      <c r="L31" s="1755">
        <v>10</v>
      </c>
    </row>
    <row r="32" spans="1:12" ht="20.100000000000001" customHeight="1">
      <c r="B32" s="1748"/>
      <c r="C32" s="1749"/>
      <c r="D32" s="1749"/>
      <c r="E32" s="1750" t="s">
        <v>1834</v>
      </c>
      <c r="F32" s="1760">
        <v>0.04</v>
      </c>
      <c r="G32" s="1760">
        <v>0.06</v>
      </c>
      <c r="H32" s="1761">
        <v>0.09</v>
      </c>
      <c r="I32" s="1753">
        <f t="shared" si="1"/>
        <v>9.8999999999999991E-2</v>
      </c>
      <c r="J32" s="1760">
        <v>7.0000000000000007E-2</v>
      </c>
      <c r="K32" s="1751">
        <v>7.0000000000000007E-2</v>
      </c>
      <c r="L32" s="1755">
        <v>10</v>
      </c>
    </row>
    <row r="33" spans="1:12" ht="20.100000000000001" customHeight="1">
      <c r="B33" s="1748"/>
      <c r="C33" s="1749"/>
      <c r="D33" s="1749"/>
      <c r="E33" s="1750" t="s">
        <v>1200</v>
      </c>
      <c r="F33" s="1760">
        <v>0.04</v>
      </c>
      <c r="G33" s="1760">
        <v>0.06</v>
      </c>
      <c r="H33" s="1761">
        <v>0.09</v>
      </c>
      <c r="I33" s="1753">
        <f t="shared" si="1"/>
        <v>9.8999999999999991E-2</v>
      </c>
      <c r="J33" s="1760">
        <v>7.0000000000000007E-2</v>
      </c>
      <c r="K33" s="1751">
        <v>7.0000000000000007E-2</v>
      </c>
      <c r="L33" s="1755">
        <v>10</v>
      </c>
    </row>
    <row r="34" spans="1:12" ht="20.100000000000001" customHeight="1">
      <c r="B34" s="1748"/>
      <c r="C34" s="1749"/>
      <c r="D34" s="1749"/>
      <c r="E34" s="1750" t="s">
        <v>1835</v>
      </c>
      <c r="F34" s="1760">
        <v>0.05</v>
      </c>
      <c r="G34" s="1760">
        <v>7.0000000000000007E-2</v>
      </c>
      <c r="H34" s="1761">
        <v>0.11</v>
      </c>
      <c r="I34" s="1753">
        <f t="shared" si="1"/>
        <v>0.121</v>
      </c>
      <c r="J34" s="1760">
        <v>0.08</v>
      </c>
      <c r="K34" s="1751">
        <v>0.08</v>
      </c>
      <c r="L34" s="1755">
        <v>10</v>
      </c>
    </row>
    <row r="35" spans="1:12" ht="20.100000000000001" customHeight="1">
      <c r="B35" s="1748"/>
      <c r="C35" s="1749"/>
      <c r="D35" s="1749"/>
      <c r="E35" s="1750" t="s">
        <v>1836</v>
      </c>
      <c r="F35" s="1760">
        <v>0.05</v>
      </c>
      <c r="G35" s="1760">
        <v>7.0000000000000007E-2</v>
      </c>
      <c r="H35" s="1761">
        <v>0.11</v>
      </c>
      <c r="I35" s="1753">
        <f t="shared" si="1"/>
        <v>0.121</v>
      </c>
      <c r="J35" s="1760">
        <v>0.08</v>
      </c>
      <c r="K35" s="1751">
        <v>0.08</v>
      </c>
      <c r="L35" s="1755">
        <v>10</v>
      </c>
    </row>
    <row r="36" spans="1:12" ht="20.100000000000001" customHeight="1">
      <c r="B36" s="1748"/>
      <c r="C36" s="1749"/>
      <c r="D36" s="1749"/>
      <c r="E36" s="1750" t="s">
        <v>1837</v>
      </c>
      <c r="F36" s="1760">
        <v>0.05</v>
      </c>
      <c r="G36" s="1760">
        <v>7.0000000000000007E-2</v>
      </c>
      <c r="H36" s="1761">
        <v>0.11</v>
      </c>
      <c r="I36" s="1753">
        <f t="shared" si="1"/>
        <v>0.121</v>
      </c>
      <c r="J36" s="1760">
        <v>0.08</v>
      </c>
      <c r="K36" s="1751">
        <v>0.08</v>
      </c>
      <c r="L36" s="1755">
        <v>10</v>
      </c>
    </row>
    <row r="37" spans="1:12" ht="20.100000000000001" customHeight="1">
      <c r="B37" s="1748"/>
      <c r="C37" s="1749"/>
      <c r="D37" s="1749"/>
      <c r="E37" s="1750" t="s">
        <v>1838</v>
      </c>
      <c r="F37" s="1760">
        <v>0.05</v>
      </c>
      <c r="G37" s="1760">
        <v>7.0000000000000007E-2</v>
      </c>
      <c r="H37" s="1761">
        <v>0.11</v>
      </c>
      <c r="I37" s="1753">
        <f t="shared" si="1"/>
        <v>0.121</v>
      </c>
      <c r="J37" s="1760">
        <v>7.0000000000000007E-2</v>
      </c>
      <c r="K37" s="1751">
        <v>7.0000000000000007E-2</v>
      </c>
      <c r="L37" s="1755">
        <v>10</v>
      </c>
    </row>
    <row r="38" spans="1:12" ht="20.100000000000001" customHeight="1">
      <c r="B38" s="1748"/>
      <c r="C38" s="1749"/>
      <c r="D38" s="1749"/>
      <c r="E38" s="1750" t="s">
        <v>1839</v>
      </c>
      <c r="F38" s="1760">
        <v>0.03</v>
      </c>
      <c r="G38" s="1760">
        <v>0.03</v>
      </c>
      <c r="H38" s="1761">
        <v>0.04</v>
      </c>
      <c r="I38" s="1753">
        <f t="shared" si="1"/>
        <v>4.3999999999999997E-2</v>
      </c>
      <c r="J38" s="1760">
        <v>0.03</v>
      </c>
      <c r="K38" s="1751">
        <v>0.03</v>
      </c>
      <c r="L38" s="1755">
        <v>10</v>
      </c>
    </row>
    <row r="39" spans="1:12" ht="20.100000000000001" customHeight="1">
      <c r="B39" s="1756"/>
      <c r="C39" s="1749"/>
      <c r="D39" s="1749"/>
      <c r="E39" s="1762" t="s">
        <v>1840</v>
      </c>
      <c r="F39" s="1758">
        <v>0</v>
      </c>
      <c r="G39" s="1758">
        <v>0</v>
      </c>
      <c r="H39" s="1758">
        <v>0</v>
      </c>
      <c r="I39" s="1758">
        <v>0</v>
      </c>
      <c r="J39" s="1758">
        <v>0</v>
      </c>
      <c r="K39" s="1758">
        <v>0</v>
      </c>
      <c r="L39" s="1759">
        <v>0</v>
      </c>
    </row>
    <row r="40" spans="1:12" ht="20.100000000000001" customHeight="1">
      <c r="B40" s="1756"/>
      <c r="C40" s="1749"/>
      <c r="D40" s="1749"/>
      <c r="E40" s="1750" t="s">
        <v>1841</v>
      </c>
      <c r="F40" s="1760">
        <v>0.06</v>
      </c>
      <c r="G40" s="1760">
        <v>0.08</v>
      </c>
      <c r="H40" s="1761">
        <v>0.13</v>
      </c>
      <c r="I40" s="1753" t="e">
        <f>(H40*#REF!%)+H40</f>
        <v>#REF!</v>
      </c>
      <c r="J40" s="1760">
        <v>0.1</v>
      </c>
      <c r="K40" s="1751">
        <v>0.1</v>
      </c>
      <c r="L40" s="1755">
        <v>10</v>
      </c>
    </row>
    <row r="41" spans="1:12" s="830" customFormat="1" ht="20.100000000000001" customHeight="1">
      <c r="A41" s="831"/>
      <c r="B41" s="1756"/>
      <c r="C41" s="1749"/>
      <c r="D41" s="1749"/>
      <c r="E41" s="1762" t="s">
        <v>1842</v>
      </c>
      <c r="F41" s="1758">
        <v>0</v>
      </c>
      <c r="G41" s="1758">
        <v>0</v>
      </c>
      <c r="H41" s="1758">
        <v>0</v>
      </c>
      <c r="I41" s="1758">
        <v>0</v>
      </c>
      <c r="J41" s="1758">
        <v>0</v>
      </c>
      <c r="K41" s="1758">
        <v>0</v>
      </c>
      <c r="L41" s="1759">
        <v>0</v>
      </c>
    </row>
    <row r="42" spans="1:12" ht="20.100000000000001" customHeight="1">
      <c r="B42" s="1748"/>
      <c r="C42" s="1749"/>
      <c r="D42" s="1749"/>
      <c r="E42" s="1750" t="s">
        <v>1843</v>
      </c>
      <c r="F42" s="1760">
        <v>0.5</v>
      </c>
      <c r="G42" s="1760">
        <v>1</v>
      </c>
      <c r="H42" s="1761">
        <v>1.25</v>
      </c>
      <c r="I42" s="1753">
        <f t="shared" ref="I42:I52" si="2">(H42*L42%)+H42</f>
        <v>1.375</v>
      </c>
      <c r="J42" s="1760">
        <v>1</v>
      </c>
      <c r="K42" s="1751">
        <v>1</v>
      </c>
      <c r="L42" s="1755">
        <v>10</v>
      </c>
    </row>
    <row r="43" spans="1:12" ht="20.100000000000001" customHeight="1">
      <c r="B43" s="1748"/>
      <c r="C43" s="1749"/>
      <c r="D43" s="1749"/>
      <c r="E43" s="1750" t="s">
        <v>1844</v>
      </c>
      <c r="F43" s="1760">
        <v>0</v>
      </c>
      <c r="G43" s="1760">
        <v>0.04</v>
      </c>
      <c r="H43" s="1761">
        <v>0.05</v>
      </c>
      <c r="I43" s="1753">
        <f t="shared" si="2"/>
        <v>5.5000000000000007E-2</v>
      </c>
      <c r="J43" s="1760">
        <v>0.06</v>
      </c>
      <c r="K43" s="1751">
        <v>0.06</v>
      </c>
      <c r="L43" s="1755">
        <v>10</v>
      </c>
    </row>
    <row r="44" spans="1:12" ht="20.100000000000001" customHeight="1">
      <c r="B44" s="1748"/>
      <c r="C44" s="1749"/>
      <c r="D44" s="1749"/>
      <c r="E44" s="1750" t="s">
        <v>1845</v>
      </c>
      <c r="F44" s="1760">
        <v>0.03</v>
      </c>
      <c r="G44" s="1760">
        <v>0.03</v>
      </c>
      <c r="H44" s="1761">
        <v>4.4999999999999998E-2</v>
      </c>
      <c r="I44" s="1753">
        <f t="shared" si="2"/>
        <v>4.9499999999999995E-2</v>
      </c>
      <c r="J44" s="1760">
        <v>0.05</v>
      </c>
      <c r="K44" s="1751">
        <v>0.05</v>
      </c>
      <c r="L44" s="1755">
        <v>10</v>
      </c>
    </row>
    <row r="45" spans="1:12" ht="20.100000000000001" customHeight="1">
      <c r="B45" s="1748"/>
      <c r="C45" s="1749"/>
      <c r="D45" s="1749"/>
      <c r="E45" s="1750" t="s">
        <v>1846</v>
      </c>
      <c r="F45" s="1760">
        <v>1</v>
      </c>
      <c r="G45" s="1760">
        <v>1</v>
      </c>
      <c r="H45" s="1761">
        <v>2</v>
      </c>
      <c r="I45" s="1753">
        <f t="shared" si="2"/>
        <v>2.2000000000000002</v>
      </c>
      <c r="J45" s="1760">
        <v>2</v>
      </c>
      <c r="K45" s="1751">
        <v>2</v>
      </c>
      <c r="L45" s="1755">
        <v>10</v>
      </c>
    </row>
    <row r="46" spans="1:12" ht="20.100000000000001" customHeight="1">
      <c r="B46" s="1748"/>
      <c r="C46" s="1749"/>
      <c r="D46" s="1749"/>
      <c r="E46" s="1750" t="s">
        <v>1847</v>
      </c>
      <c r="F46" s="1760">
        <v>0.03</v>
      </c>
      <c r="G46" s="1760">
        <v>0.03</v>
      </c>
      <c r="H46" s="1761">
        <v>4.4999999999999998E-2</v>
      </c>
      <c r="I46" s="1753">
        <f t="shared" si="2"/>
        <v>4.9499999999999995E-2</v>
      </c>
      <c r="J46" s="1760">
        <v>0.05</v>
      </c>
      <c r="K46" s="1751">
        <v>0.05</v>
      </c>
      <c r="L46" s="1755">
        <v>10</v>
      </c>
    </row>
    <row r="47" spans="1:12" ht="20.100000000000001" customHeight="1">
      <c r="B47" s="1748"/>
      <c r="C47" s="1749"/>
      <c r="D47" s="1749"/>
      <c r="E47" s="1750" t="s">
        <v>1848</v>
      </c>
      <c r="F47" s="1760">
        <v>0.02</v>
      </c>
      <c r="G47" s="1760">
        <v>0.03</v>
      </c>
      <c r="H47" s="1761">
        <v>4.4999999999999998E-2</v>
      </c>
      <c r="I47" s="1753">
        <f t="shared" si="2"/>
        <v>4.9499999999999995E-2</v>
      </c>
      <c r="J47" s="1760">
        <v>0.05</v>
      </c>
      <c r="K47" s="1751">
        <v>0.05</v>
      </c>
      <c r="L47" s="1755">
        <v>10</v>
      </c>
    </row>
    <row r="48" spans="1:12" ht="20.100000000000001" customHeight="1">
      <c r="B48" s="1748"/>
      <c r="C48" s="1749"/>
      <c r="D48" s="1749"/>
      <c r="E48" s="1750" t="s">
        <v>1849</v>
      </c>
      <c r="F48" s="1760">
        <v>0.03</v>
      </c>
      <c r="G48" s="1760">
        <v>0.4</v>
      </c>
      <c r="H48" s="1761">
        <v>0.05</v>
      </c>
      <c r="I48" s="1753">
        <f t="shared" si="2"/>
        <v>5.5000000000000007E-2</v>
      </c>
      <c r="J48" s="1760">
        <v>0.05</v>
      </c>
      <c r="K48" s="1751">
        <v>0.05</v>
      </c>
      <c r="L48" s="1755">
        <v>10</v>
      </c>
    </row>
    <row r="49" spans="1:12" ht="20.100000000000001" customHeight="1">
      <c r="B49" s="1748"/>
      <c r="C49" s="1749"/>
      <c r="D49" s="1749"/>
      <c r="E49" s="1750" t="s">
        <v>1850</v>
      </c>
      <c r="F49" s="1760">
        <v>0.03</v>
      </c>
      <c r="G49" s="1760">
        <v>0.03</v>
      </c>
      <c r="H49" s="1761">
        <v>4.4999999999999998E-2</v>
      </c>
      <c r="I49" s="1753">
        <f t="shared" si="2"/>
        <v>4.9499999999999995E-2</v>
      </c>
      <c r="J49" s="1760">
        <v>0.05</v>
      </c>
      <c r="K49" s="1751">
        <v>0.05</v>
      </c>
      <c r="L49" s="1755">
        <v>10</v>
      </c>
    </row>
    <row r="50" spans="1:12" ht="20.100000000000001" customHeight="1">
      <c r="B50" s="1748"/>
      <c r="C50" s="1749"/>
      <c r="D50" s="1749"/>
      <c r="E50" s="1750" t="s">
        <v>1851</v>
      </c>
      <c r="F50" s="1760">
        <v>4.4999999999999998E-2</v>
      </c>
      <c r="G50" s="1760">
        <v>4.4999999999999998E-2</v>
      </c>
      <c r="H50" s="1761">
        <v>6.5000000000000002E-2</v>
      </c>
      <c r="I50" s="1753">
        <f t="shared" si="2"/>
        <v>7.1500000000000008E-2</v>
      </c>
      <c r="J50" s="1760">
        <v>0.05</v>
      </c>
      <c r="K50" s="1751">
        <v>0.05</v>
      </c>
      <c r="L50" s="1755">
        <v>10</v>
      </c>
    </row>
    <row r="51" spans="1:12" ht="20.100000000000001" customHeight="1">
      <c r="B51" s="1748"/>
      <c r="C51" s="1749"/>
      <c r="D51" s="1749"/>
      <c r="E51" s="1750" t="s">
        <v>1852</v>
      </c>
      <c r="F51" s="1760">
        <v>0.03</v>
      </c>
      <c r="G51" s="1760">
        <v>0.03</v>
      </c>
      <c r="H51" s="1761">
        <v>4.4999999999999998E-2</v>
      </c>
      <c r="I51" s="1753">
        <f t="shared" si="2"/>
        <v>4.9499999999999995E-2</v>
      </c>
      <c r="J51" s="1760">
        <v>0.05</v>
      </c>
      <c r="K51" s="1751">
        <v>0.05</v>
      </c>
      <c r="L51" s="1755">
        <v>10</v>
      </c>
    </row>
    <row r="52" spans="1:12" ht="20.100000000000001" customHeight="1">
      <c r="B52" s="1748"/>
      <c r="C52" s="1749"/>
      <c r="D52" s="1749"/>
      <c r="E52" s="1750" t="s">
        <v>1853</v>
      </c>
      <c r="F52" s="1760">
        <v>0.03</v>
      </c>
      <c r="G52" s="1760">
        <v>0.03</v>
      </c>
      <c r="H52" s="1761">
        <v>4.4999999999999998E-2</v>
      </c>
      <c r="I52" s="1753">
        <f t="shared" si="2"/>
        <v>4.9499999999999995E-2</v>
      </c>
      <c r="J52" s="1760">
        <v>0.05</v>
      </c>
      <c r="K52" s="1751">
        <v>0.05</v>
      </c>
      <c r="L52" s="1755">
        <v>10</v>
      </c>
    </row>
    <row r="53" spans="1:12" s="830" customFormat="1" ht="20.100000000000001" customHeight="1">
      <c r="A53" s="831"/>
      <c r="B53" s="1756"/>
      <c r="C53" s="1749"/>
      <c r="D53" s="1749"/>
      <c r="E53" s="1762" t="s">
        <v>1854</v>
      </c>
      <c r="F53" s="1758">
        <v>0</v>
      </c>
      <c r="G53" s="1758">
        <v>0</v>
      </c>
      <c r="H53" s="1758">
        <v>0</v>
      </c>
      <c r="I53" s="1758">
        <v>0</v>
      </c>
      <c r="J53" s="1758">
        <v>0</v>
      </c>
      <c r="K53" s="1758">
        <v>0</v>
      </c>
      <c r="L53" s="1759">
        <v>0</v>
      </c>
    </row>
    <row r="54" spans="1:12" ht="20.100000000000001" customHeight="1">
      <c r="B54" s="1748"/>
      <c r="C54" s="1749"/>
      <c r="D54" s="1749"/>
      <c r="E54" s="1750" t="s">
        <v>1855</v>
      </c>
      <c r="F54" s="1760">
        <v>0.05</v>
      </c>
      <c r="G54" s="1760">
        <v>0.05</v>
      </c>
      <c r="H54" s="1761">
        <v>0.1</v>
      </c>
      <c r="I54" s="1753">
        <f>(H54*L54%)+H54</f>
        <v>0.11000000000000001</v>
      </c>
      <c r="J54" s="1760">
        <v>0.05</v>
      </c>
      <c r="K54" s="1751">
        <v>0.05</v>
      </c>
      <c r="L54" s="1755">
        <v>10</v>
      </c>
    </row>
    <row r="55" spans="1:12" ht="20.100000000000001" customHeight="1">
      <c r="B55" s="1748"/>
      <c r="C55" s="1749"/>
      <c r="D55" s="1749"/>
      <c r="E55" s="1750" t="s">
        <v>1856</v>
      </c>
      <c r="F55" s="1760">
        <v>0.05</v>
      </c>
      <c r="G55" s="1760">
        <v>0.05</v>
      </c>
      <c r="H55" s="1761">
        <v>0.1</v>
      </c>
      <c r="I55" s="1753">
        <f>(H55*L55%)+H55</f>
        <v>0.11000000000000001</v>
      </c>
      <c r="J55" s="1760">
        <v>0.05</v>
      </c>
      <c r="K55" s="1751">
        <v>0.05</v>
      </c>
      <c r="L55" s="1755">
        <v>10</v>
      </c>
    </row>
    <row r="56" spans="1:12" ht="20.100000000000001" customHeight="1">
      <c r="B56" s="1748"/>
      <c r="C56" s="1749"/>
      <c r="D56" s="1749"/>
      <c r="E56" s="1750" t="s">
        <v>1857</v>
      </c>
      <c r="F56" s="1760">
        <v>6.5000000000000002E-2</v>
      </c>
      <c r="G56" s="1760">
        <v>6.5000000000000002E-2</v>
      </c>
      <c r="H56" s="1761">
        <v>0.1</v>
      </c>
      <c r="I56" s="1753">
        <f>(H56*L56%)+H56</f>
        <v>0.11000000000000001</v>
      </c>
      <c r="J56" s="1760">
        <v>7.0000000000000007E-2</v>
      </c>
      <c r="K56" s="1751">
        <v>7.0000000000000007E-2</v>
      </c>
      <c r="L56" s="1755">
        <v>10</v>
      </c>
    </row>
    <row r="57" spans="1:12" ht="20.100000000000001" customHeight="1">
      <c r="B57" s="1748"/>
      <c r="C57" s="1749"/>
      <c r="D57" s="1749"/>
      <c r="E57" s="1750" t="s">
        <v>1858</v>
      </c>
      <c r="F57" s="1760">
        <v>7.0000000000000007E-2</v>
      </c>
      <c r="G57" s="1760">
        <v>7.0000000000000007E-2</v>
      </c>
      <c r="H57" s="1761">
        <v>0.09</v>
      </c>
      <c r="I57" s="1753">
        <f>(H57*L57%)+H57</f>
        <v>9.8999999999999991E-2</v>
      </c>
      <c r="J57" s="1760">
        <v>7.0000000000000007E-2</v>
      </c>
      <c r="K57" s="1751">
        <v>7.0000000000000007E-2</v>
      </c>
      <c r="L57" s="1755">
        <v>10</v>
      </c>
    </row>
    <row r="58" spans="1:12" ht="20.100000000000001" customHeight="1">
      <c r="B58" s="1748"/>
      <c r="C58" s="1749"/>
      <c r="D58" s="1749"/>
      <c r="E58" s="1750" t="s">
        <v>1859</v>
      </c>
      <c r="F58" s="1760">
        <v>7.0000000000000007E-2</v>
      </c>
      <c r="G58" s="1760">
        <v>7.0000000000000007E-2</v>
      </c>
      <c r="H58" s="1761">
        <v>0.09</v>
      </c>
      <c r="I58" s="1753">
        <f>(H58*L58%)+H58</f>
        <v>9.8999999999999991E-2</v>
      </c>
      <c r="J58" s="1760">
        <v>7.0000000000000007E-2</v>
      </c>
      <c r="K58" s="1751">
        <v>7.0000000000000007E-2</v>
      </c>
      <c r="L58" s="1755">
        <v>10</v>
      </c>
    </row>
    <row r="59" spans="1:12" ht="20.100000000000001" customHeight="1">
      <c r="B59" s="1756"/>
      <c r="C59" s="1749"/>
      <c r="D59" s="1749"/>
      <c r="E59" s="1762" t="s">
        <v>1860</v>
      </c>
      <c r="F59" s="1760">
        <v>5.0000000000000001E-3</v>
      </c>
      <c r="G59" s="1760">
        <v>7.0000000000000001E-3</v>
      </c>
      <c r="H59" s="1761">
        <v>8.0000000000000002E-3</v>
      </c>
      <c r="I59" s="1753" t="e">
        <f>(H59*#REF!%)+H59</f>
        <v>#REF!</v>
      </c>
      <c r="J59" s="1760">
        <v>8.0000000000000002E-3</v>
      </c>
      <c r="K59" s="1751">
        <v>8.0000000000000002E-3</v>
      </c>
      <c r="L59" s="1755">
        <v>10</v>
      </c>
    </row>
    <row r="60" spans="1:12" s="830" customFormat="1" ht="20.100000000000001" customHeight="1">
      <c r="A60" s="831"/>
      <c r="B60" s="1756"/>
      <c r="C60" s="1749"/>
      <c r="D60" s="1749"/>
      <c r="E60" s="1762" t="s">
        <v>1861</v>
      </c>
      <c r="F60" s="1758">
        <v>0</v>
      </c>
      <c r="G60" s="1758">
        <v>0</v>
      </c>
      <c r="H60" s="1758">
        <v>0</v>
      </c>
      <c r="I60" s="1758">
        <v>0</v>
      </c>
      <c r="J60" s="1758">
        <v>0</v>
      </c>
      <c r="K60" s="1758">
        <v>0</v>
      </c>
      <c r="L60" s="1759">
        <v>0</v>
      </c>
    </row>
    <row r="61" spans="1:12" s="830" customFormat="1" ht="20.100000000000001" customHeight="1">
      <c r="A61" s="831"/>
      <c r="B61" s="1756"/>
      <c r="C61" s="1749"/>
      <c r="D61" s="1749"/>
      <c r="E61" s="1762" t="s">
        <v>1862</v>
      </c>
      <c r="F61" s="1758">
        <v>0</v>
      </c>
      <c r="G61" s="1758">
        <v>0</v>
      </c>
      <c r="H61" s="1758">
        <v>0</v>
      </c>
      <c r="I61" s="1758">
        <v>0</v>
      </c>
      <c r="J61" s="1758">
        <v>0</v>
      </c>
      <c r="K61" s="1758">
        <v>0</v>
      </c>
      <c r="L61" s="1759">
        <v>0</v>
      </c>
    </row>
    <row r="62" spans="1:12" ht="20.100000000000001" customHeight="1">
      <c r="B62" s="1748"/>
      <c r="C62" s="1749"/>
      <c r="D62" s="1749"/>
      <c r="E62" s="1750" t="s">
        <v>1863</v>
      </c>
      <c r="F62" s="1760">
        <v>0.05</v>
      </c>
      <c r="G62" s="1760">
        <v>7.0000000000000007E-2</v>
      </c>
      <c r="H62" s="1761">
        <v>0.11</v>
      </c>
      <c r="I62" s="1753">
        <f t="shared" ref="I62:I68" si="3">(H62*L62%)+H62</f>
        <v>0.121</v>
      </c>
      <c r="J62" s="1760">
        <v>0.1</v>
      </c>
      <c r="K62" s="1751">
        <v>7.0000000000000007E-2</v>
      </c>
      <c r="L62" s="1755">
        <v>10</v>
      </c>
    </row>
    <row r="63" spans="1:12" ht="20.100000000000001" customHeight="1">
      <c r="B63" s="1748"/>
      <c r="C63" s="1749"/>
      <c r="D63" s="1749"/>
      <c r="E63" s="1750" t="s">
        <v>1864</v>
      </c>
      <c r="F63" s="1760">
        <v>0.04</v>
      </c>
      <c r="G63" s="1760">
        <v>0.06</v>
      </c>
      <c r="H63" s="1761">
        <v>0.09</v>
      </c>
      <c r="I63" s="1753">
        <f t="shared" si="3"/>
        <v>9.8999999999999991E-2</v>
      </c>
      <c r="J63" s="1760">
        <v>0.08</v>
      </c>
      <c r="K63" s="1751">
        <v>0.06</v>
      </c>
      <c r="L63" s="1755">
        <v>10</v>
      </c>
    </row>
    <row r="64" spans="1:12" ht="20.100000000000001" customHeight="1">
      <c r="B64" s="1748"/>
      <c r="C64" s="1749"/>
      <c r="D64" s="1749"/>
      <c r="E64" s="1750" t="s">
        <v>1865</v>
      </c>
      <c r="F64" s="1760">
        <v>0.05</v>
      </c>
      <c r="G64" s="1760">
        <v>7.0000000000000007E-2</v>
      </c>
      <c r="H64" s="1761">
        <v>0.1</v>
      </c>
      <c r="I64" s="1753">
        <f t="shared" si="3"/>
        <v>0.11000000000000001</v>
      </c>
      <c r="J64" s="1760">
        <v>0.1</v>
      </c>
      <c r="K64" s="1751">
        <v>7.0000000000000007E-2</v>
      </c>
      <c r="L64" s="1755">
        <v>10</v>
      </c>
    </row>
    <row r="65" spans="1:12" ht="20.100000000000001" customHeight="1">
      <c r="B65" s="1748"/>
      <c r="C65" s="1749"/>
      <c r="D65" s="1749"/>
      <c r="E65" s="1750" t="s">
        <v>1866</v>
      </c>
      <c r="F65" s="1760">
        <v>0.05</v>
      </c>
      <c r="G65" s="1760">
        <v>7.0000000000000007E-2</v>
      </c>
      <c r="H65" s="1761">
        <v>0.1</v>
      </c>
      <c r="I65" s="1753">
        <f t="shared" si="3"/>
        <v>0.11000000000000001</v>
      </c>
      <c r="J65" s="1760">
        <v>0.1</v>
      </c>
      <c r="K65" s="1751">
        <v>7.0000000000000007E-2</v>
      </c>
      <c r="L65" s="1755">
        <v>10</v>
      </c>
    </row>
    <row r="66" spans="1:12" ht="20.100000000000001" customHeight="1">
      <c r="B66" s="1748"/>
      <c r="C66" s="1749"/>
      <c r="D66" s="1749"/>
      <c r="E66" s="1750" t="s">
        <v>1867</v>
      </c>
      <c r="F66" s="1760">
        <v>2</v>
      </c>
      <c r="G66" s="1760">
        <v>3</v>
      </c>
      <c r="H66" s="1761">
        <v>4.5</v>
      </c>
      <c r="I66" s="1753">
        <f t="shared" si="3"/>
        <v>4.95</v>
      </c>
      <c r="J66" s="1760">
        <v>4</v>
      </c>
      <c r="K66" s="1751">
        <v>3</v>
      </c>
      <c r="L66" s="1755">
        <v>10</v>
      </c>
    </row>
    <row r="67" spans="1:12" ht="20.100000000000001" customHeight="1">
      <c r="B67" s="1748"/>
      <c r="C67" s="1749"/>
      <c r="D67" s="1749"/>
      <c r="E67" s="1750" t="s">
        <v>1868</v>
      </c>
      <c r="F67" s="1760">
        <v>0.06</v>
      </c>
      <c r="G67" s="1760">
        <v>0.09</v>
      </c>
      <c r="H67" s="1761">
        <v>0.13500000000000001</v>
      </c>
      <c r="I67" s="1753">
        <f t="shared" si="3"/>
        <v>0.14850000000000002</v>
      </c>
      <c r="J67" s="1760">
        <v>0.12</v>
      </c>
      <c r="K67" s="1751">
        <v>0.09</v>
      </c>
      <c r="L67" s="1755">
        <v>10</v>
      </c>
    </row>
    <row r="68" spans="1:12" ht="20.100000000000001" customHeight="1">
      <c r="B68" s="1748"/>
      <c r="C68" s="1749"/>
      <c r="D68" s="1749"/>
      <c r="E68" s="1750" t="s">
        <v>1869</v>
      </c>
      <c r="F68" s="1760">
        <v>0.05</v>
      </c>
      <c r="G68" s="1760">
        <v>7.0000000000000007E-2</v>
      </c>
      <c r="H68" s="1761">
        <v>0.09</v>
      </c>
      <c r="I68" s="1753">
        <f t="shared" si="3"/>
        <v>9.8999999999999991E-2</v>
      </c>
      <c r="J68" s="1760">
        <v>0.1</v>
      </c>
      <c r="K68" s="1751">
        <v>7.0000000000000007E-2</v>
      </c>
      <c r="L68" s="1755">
        <v>10</v>
      </c>
    </row>
    <row r="69" spans="1:12" s="830" customFormat="1" ht="20.100000000000001" customHeight="1">
      <c r="A69" s="831"/>
      <c r="B69" s="1756"/>
      <c r="C69" s="1749"/>
      <c r="D69" s="1749"/>
      <c r="E69" s="1762" t="s">
        <v>1870</v>
      </c>
      <c r="F69" s="1758">
        <v>0</v>
      </c>
      <c r="G69" s="1758">
        <v>0</v>
      </c>
      <c r="H69" s="1758">
        <v>0</v>
      </c>
      <c r="I69" s="1758">
        <v>0</v>
      </c>
      <c r="J69" s="1758">
        <v>0</v>
      </c>
      <c r="K69" s="1758">
        <v>0</v>
      </c>
      <c r="L69" s="1759">
        <v>0</v>
      </c>
    </row>
    <row r="70" spans="1:12" ht="20.100000000000001" customHeight="1">
      <c r="B70" s="1748"/>
      <c r="C70" s="1749"/>
      <c r="D70" s="1749"/>
      <c r="E70" s="1750" t="s">
        <v>1871</v>
      </c>
      <c r="F70" s="1760">
        <v>0.05</v>
      </c>
      <c r="G70" s="1760">
        <v>7.0000000000000007E-2</v>
      </c>
      <c r="H70" s="1761">
        <v>0.11</v>
      </c>
      <c r="I70" s="1753">
        <f>(H70*L70%)+H70</f>
        <v>0.121</v>
      </c>
      <c r="J70" s="1760">
        <v>0.1</v>
      </c>
      <c r="K70" s="1751">
        <v>7.0000000000000007E-2</v>
      </c>
      <c r="L70" s="1755">
        <v>10</v>
      </c>
    </row>
    <row r="71" spans="1:12" ht="20.100000000000001" customHeight="1">
      <c r="B71" s="1748"/>
      <c r="C71" s="1749"/>
      <c r="D71" s="1749"/>
      <c r="E71" s="1750" t="s">
        <v>1872</v>
      </c>
      <c r="F71" s="1760">
        <v>0.04</v>
      </c>
      <c r="G71" s="1760">
        <v>0.06</v>
      </c>
      <c r="H71" s="1761">
        <v>0.09</v>
      </c>
      <c r="I71" s="1753">
        <f>(H71*L71%)+H71</f>
        <v>9.8999999999999991E-2</v>
      </c>
      <c r="J71" s="1760">
        <v>0.1</v>
      </c>
      <c r="K71" s="1751">
        <v>7.0000000000000007E-2</v>
      </c>
      <c r="L71" s="1755">
        <v>10</v>
      </c>
    </row>
    <row r="72" spans="1:12" ht="20.100000000000001" customHeight="1">
      <c r="B72" s="1748"/>
      <c r="C72" s="1749"/>
      <c r="D72" s="1749"/>
      <c r="E72" s="1750" t="s">
        <v>1873</v>
      </c>
      <c r="F72" s="1760">
        <v>0.05</v>
      </c>
      <c r="G72" s="1760">
        <v>7.0000000000000007E-2</v>
      </c>
      <c r="H72" s="1761">
        <v>0.09</v>
      </c>
      <c r="I72" s="1753">
        <f>(H72*L72%)+H72</f>
        <v>9.8999999999999991E-2</v>
      </c>
      <c r="J72" s="1760">
        <v>0.1</v>
      </c>
      <c r="K72" s="1751">
        <v>7.0000000000000007E-2</v>
      </c>
      <c r="L72" s="1755">
        <v>10</v>
      </c>
    </row>
    <row r="73" spans="1:12" ht="20.100000000000001" customHeight="1">
      <c r="B73" s="1748"/>
      <c r="C73" s="1749"/>
      <c r="D73" s="1749"/>
      <c r="E73" s="1750" t="s">
        <v>1874</v>
      </c>
      <c r="F73" s="1760">
        <v>0.05</v>
      </c>
      <c r="G73" s="1760">
        <v>7.0000000000000007E-2</v>
      </c>
      <c r="H73" s="1761">
        <v>0.09</v>
      </c>
      <c r="I73" s="1753">
        <f>(H73*L73%)+H73</f>
        <v>9.8999999999999991E-2</v>
      </c>
      <c r="J73" s="1760">
        <v>0.08</v>
      </c>
      <c r="K73" s="1751">
        <v>0.06</v>
      </c>
      <c r="L73" s="1755">
        <v>10</v>
      </c>
    </row>
    <row r="74" spans="1:12" ht="20.100000000000001" customHeight="1">
      <c r="B74" s="1748"/>
      <c r="C74" s="1749"/>
      <c r="D74" s="1749"/>
      <c r="E74" s="1750" t="s">
        <v>1875</v>
      </c>
      <c r="F74" s="1760">
        <v>0.05</v>
      </c>
      <c r="G74" s="1760">
        <v>7.0000000000000007E-2</v>
      </c>
      <c r="H74" s="1761">
        <v>0.11</v>
      </c>
      <c r="I74" s="1753">
        <f>(H74*L74%)+H74</f>
        <v>0.121</v>
      </c>
      <c r="J74" s="1760">
        <v>0.1</v>
      </c>
      <c r="K74" s="1751">
        <v>7.0000000000000007E-2</v>
      </c>
      <c r="L74" s="1755">
        <v>10</v>
      </c>
    </row>
    <row r="75" spans="1:12" s="830" customFormat="1" ht="20.100000000000001" customHeight="1">
      <c r="A75" s="831"/>
      <c r="B75" s="1756"/>
      <c r="C75" s="1749"/>
      <c r="D75" s="1749"/>
      <c r="E75" s="1762" t="s">
        <v>1876</v>
      </c>
      <c r="F75" s="1758">
        <v>0</v>
      </c>
      <c r="G75" s="1758">
        <v>0</v>
      </c>
      <c r="H75" s="1758">
        <v>0</v>
      </c>
      <c r="I75" s="1758">
        <v>0</v>
      </c>
      <c r="J75" s="1758">
        <v>0</v>
      </c>
      <c r="K75" s="1758">
        <v>0</v>
      </c>
      <c r="L75" s="1759">
        <v>0</v>
      </c>
    </row>
    <row r="76" spans="1:12" ht="20.100000000000001" customHeight="1">
      <c r="B76" s="1748"/>
      <c r="C76" s="1749"/>
      <c r="D76" s="1749"/>
      <c r="E76" s="1750" t="s">
        <v>1877</v>
      </c>
      <c r="F76" s="1760">
        <v>0.04</v>
      </c>
      <c r="G76" s="1760">
        <v>0.06</v>
      </c>
      <c r="H76" s="1761">
        <v>0.09</v>
      </c>
      <c r="I76" s="1753">
        <f t="shared" ref="I76:I82" si="4">(H76*L76%)+H76</f>
        <v>9.8999999999999991E-2</v>
      </c>
      <c r="J76" s="1760">
        <v>0.08</v>
      </c>
      <c r="K76" s="1751">
        <v>0.06</v>
      </c>
      <c r="L76" s="1755">
        <v>10</v>
      </c>
    </row>
    <row r="77" spans="1:12" ht="20.100000000000001" customHeight="1">
      <c r="B77" s="1748"/>
      <c r="C77" s="1749"/>
      <c r="D77" s="1749"/>
      <c r="E77" s="1750" t="s">
        <v>1878</v>
      </c>
      <c r="F77" s="1760">
        <v>0.05</v>
      </c>
      <c r="G77" s="1760">
        <v>7.0000000000000007E-2</v>
      </c>
      <c r="H77" s="1761">
        <v>0.11</v>
      </c>
      <c r="I77" s="1753">
        <f t="shared" si="4"/>
        <v>0.121</v>
      </c>
      <c r="J77" s="1760">
        <v>0.1</v>
      </c>
      <c r="K77" s="1751">
        <v>7.0000000000000007E-2</v>
      </c>
      <c r="L77" s="1755">
        <v>10</v>
      </c>
    </row>
    <row r="78" spans="1:12" ht="20.100000000000001" customHeight="1">
      <c r="B78" s="1748"/>
      <c r="C78" s="1749"/>
      <c r="D78" s="1749"/>
      <c r="E78" s="1750" t="s">
        <v>1879</v>
      </c>
      <c r="F78" s="1760">
        <v>0</v>
      </c>
      <c r="G78" s="1760">
        <v>0.08</v>
      </c>
      <c r="H78" s="1761">
        <v>0.11</v>
      </c>
      <c r="I78" s="1753">
        <f t="shared" si="4"/>
        <v>0.121</v>
      </c>
      <c r="J78" s="1760">
        <v>0.1</v>
      </c>
      <c r="K78" s="1751">
        <v>7.0000000000000007E-2</v>
      </c>
      <c r="L78" s="1755">
        <v>10</v>
      </c>
    </row>
    <row r="79" spans="1:12" ht="20.100000000000001" customHeight="1">
      <c r="B79" s="1748"/>
      <c r="C79" s="1749"/>
      <c r="D79" s="1749"/>
      <c r="E79" s="1750" t="s">
        <v>1880</v>
      </c>
      <c r="F79" s="1760">
        <v>2</v>
      </c>
      <c r="G79" s="1760">
        <v>3</v>
      </c>
      <c r="H79" s="1761">
        <v>4.5</v>
      </c>
      <c r="I79" s="1753">
        <f t="shared" si="4"/>
        <v>4.95</v>
      </c>
      <c r="J79" s="1760">
        <v>3</v>
      </c>
      <c r="K79" s="1751">
        <v>2</v>
      </c>
      <c r="L79" s="1755">
        <v>10</v>
      </c>
    </row>
    <row r="80" spans="1:12" ht="20.100000000000001" customHeight="1">
      <c r="B80" s="1748"/>
      <c r="C80" s="1749"/>
      <c r="D80" s="1749"/>
      <c r="E80" s="1750" t="s">
        <v>1881</v>
      </c>
      <c r="F80" s="1760">
        <v>0.06</v>
      </c>
      <c r="G80" s="1760">
        <v>0.09</v>
      </c>
      <c r="H80" s="1761">
        <v>0.13500000000000001</v>
      </c>
      <c r="I80" s="1753">
        <f t="shared" si="4"/>
        <v>0.14850000000000002</v>
      </c>
      <c r="J80" s="1760">
        <v>0.09</v>
      </c>
      <c r="K80" s="1751">
        <v>0.06</v>
      </c>
      <c r="L80" s="1755">
        <v>10</v>
      </c>
    </row>
    <row r="81" spans="1:12" ht="20.100000000000001" customHeight="1">
      <c r="B81" s="1748"/>
      <c r="C81" s="1749"/>
      <c r="D81" s="1749"/>
      <c r="E81" s="1750" t="s">
        <v>1882</v>
      </c>
      <c r="F81" s="1760">
        <v>1</v>
      </c>
      <c r="G81" s="1760">
        <v>2</v>
      </c>
      <c r="H81" s="1761">
        <v>2.5</v>
      </c>
      <c r="I81" s="1753">
        <f t="shared" si="4"/>
        <v>2.75</v>
      </c>
      <c r="J81" s="1760">
        <v>2</v>
      </c>
      <c r="K81" s="1751">
        <v>1.5</v>
      </c>
      <c r="L81" s="1755">
        <v>10</v>
      </c>
    </row>
    <row r="82" spans="1:12" ht="20.100000000000001" customHeight="1">
      <c r="B82" s="1748"/>
      <c r="C82" s="1749"/>
      <c r="D82" s="1749"/>
      <c r="E82" s="1750" t="s">
        <v>1883</v>
      </c>
      <c r="F82" s="1760">
        <v>0.05</v>
      </c>
      <c r="G82" s="1760">
        <v>0.1</v>
      </c>
      <c r="H82" s="1761">
        <v>0.125</v>
      </c>
      <c r="I82" s="1753">
        <f t="shared" si="4"/>
        <v>0.13750000000000001</v>
      </c>
      <c r="J82" s="1760">
        <v>0.1</v>
      </c>
      <c r="K82" s="1751">
        <v>0.75</v>
      </c>
      <c r="L82" s="1755">
        <v>10</v>
      </c>
    </row>
    <row r="83" spans="1:12" s="830" customFormat="1" ht="20.100000000000001" customHeight="1">
      <c r="A83" s="831"/>
      <c r="B83" s="1756"/>
      <c r="C83" s="1749"/>
      <c r="D83" s="1749"/>
      <c r="E83" s="1762" t="s">
        <v>1884</v>
      </c>
      <c r="F83" s="1758">
        <v>0</v>
      </c>
      <c r="G83" s="1758">
        <v>0</v>
      </c>
      <c r="H83" s="1758">
        <v>0</v>
      </c>
      <c r="I83" s="1758">
        <v>0</v>
      </c>
      <c r="J83" s="1758">
        <v>0</v>
      </c>
      <c r="K83" s="1758">
        <v>0</v>
      </c>
      <c r="L83" s="1759">
        <v>0</v>
      </c>
    </row>
    <row r="84" spans="1:12" ht="20.100000000000001" customHeight="1">
      <c r="B84" s="1748"/>
      <c r="C84" s="1749"/>
      <c r="D84" s="1749"/>
      <c r="E84" s="1750" t="s">
        <v>1885</v>
      </c>
      <c r="F84" s="1760">
        <v>0.04</v>
      </c>
      <c r="G84" s="1760">
        <v>0.06</v>
      </c>
      <c r="H84" s="1761">
        <v>0.09</v>
      </c>
      <c r="I84" s="1753">
        <f t="shared" ref="I84:I93" si="5">(H84*L84%)+H84</f>
        <v>9.8999999999999991E-2</v>
      </c>
      <c r="J84" s="1760">
        <v>0.1</v>
      </c>
      <c r="K84" s="1751">
        <v>7.0000000000000007E-2</v>
      </c>
      <c r="L84" s="1755">
        <v>10</v>
      </c>
    </row>
    <row r="85" spans="1:12" ht="20.100000000000001" customHeight="1">
      <c r="B85" s="1748"/>
      <c r="C85" s="1749"/>
      <c r="D85" s="1749"/>
      <c r="E85" s="1750" t="s">
        <v>1878</v>
      </c>
      <c r="F85" s="1760">
        <v>0.05</v>
      </c>
      <c r="G85" s="1760">
        <v>7.0000000000000007E-2</v>
      </c>
      <c r="H85" s="1761">
        <v>0.11</v>
      </c>
      <c r="I85" s="1753">
        <f t="shared" si="5"/>
        <v>0.121</v>
      </c>
      <c r="J85" s="1760">
        <v>0.1</v>
      </c>
      <c r="K85" s="1751">
        <v>7.0000000000000007E-2</v>
      </c>
      <c r="L85" s="1755">
        <v>10</v>
      </c>
    </row>
    <row r="86" spans="1:12" ht="20.100000000000001" customHeight="1">
      <c r="B86" s="1748"/>
      <c r="C86" s="1749"/>
      <c r="D86" s="1749"/>
      <c r="E86" s="1750" t="s">
        <v>1886</v>
      </c>
      <c r="F86" s="1760">
        <v>0</v>
      </c>
      <c r="G86" s="1760">
        <v>0.08</v>
      </c>
      <c r="H86" s="1761">
        <v>0.11</v>
      </c>
      <c r="I86" s="1753">
        <f t="shared" si="5"/>
        <v>0.121</v>
      </c>
      <c r="J86" s="1760">
        <v>0.1</v>
      </c>
      <c r="K86" s="1751">
        <v>7.0000000000000007E-2</v>
      </c>
      <c r="L86" s="1755">
        <v>10</v>
      </c>
    </row>
    <row r="87" spans="1:12" ht="20.100000000000001" customHeight="1">
      <c r="B87" s="1748"/>
      <c r="C87" s="1749"/>
      <c r="D87" s="1749"/>
      <c r="E87" s="1750" t="s">
        <v>1887</v>
      </c>
      <c r="F87" s="1760">
        <v>0.04</v>
      </c>
      <c r="G87" s="1760">
        <v>0.06</v>
      </c>
      <c r="H87" s="1761">
        <v>0.09</v>
      </c>
      <c r="I87" s="1753">
        <f t="shared" si="5"/>
        <v>9.8999999999999991E-2</v>
      </c>
      <c r="J87" s="1760">
        <v>0.08</v>
      </c>
      <c r="K87" s="1751">
        <v>7.0000000000000007E-2</v>
      </c>
      <c r="L87" s="1755">
        <v>10</v>
      </c>
    </row>
    <row r="88" spans="1:12" ht="20.100000000000001" customHeight="1">
      <c r="B88" s="1748"/>
      <c r="C88" s="1749"/>
      <c r="D88" s="1749"/>
      <c r="E88" s="1750" t="s">
        <v>1888</v>
      </c>
      <c r="F88" s="1760">
        <v>0.05</v>
      </c>
      <c r="G88" s="1760">
        <v>7.0000000000000007E-2</v>
      </c>
      <c r="H88" s="1761">
        <v>0.11</v>
      </c>
      <c r="I88" s="1753">
        <f t="shared" si="5"/>
        <v>0.121</v>
      </c>
      <c r="J88" s="1760">
        <v>0.1</v>
      </c>
      <c r="K88" s="1751">
        <v>7.0000000000000007E-2</v>
      </c>
      <c r="L88" s="1755">
        <v>10</v>
      </c>
    </row>
    <row r="89" spans="1:12" ht="20.100000000000001" customHeight="1">
      <c r="B89" s="1748"/>
      <c r="C89" s="1749"/>
      <c r="D89" s="1749"/>
      <c r="E89" s="1750" t="s">
        <v>1889</v>
      </c>
      <c r="F89" s="1760">
        <v>1</v>
      </c>
      <c r="G89" s="1760">
        <v>2</v>
      </c>
      <c r="H89" s="1761">
        <v>2.5</v>
      </c>
      <c r="I89" s="1753">
        <f t="shared" si="5"/>
        <v>2.75</v>
      </c>
      <c r="J89" s="1760">
        <v>2</v>
      </c>
      <c r="K89" s="1751">
        <v>1.5</v>
      </c>
      <c r="L89" s="1755">
        <v>10</v>
      </c>
    </row>
    <row r="90" spans="1:12" ht="20.100000000000001" customHeight="1">
      <c r="B90" s="1748"/>
      <c r="C90" s="1749"/>
      <c r="D90" s="1749"/>
      <c r="E90" s="1750" t="s">
        <v>1890</v>
      </c>
      <c r="F90" s="1760">
        <v>0.05</v>
      </c>
      <c r="G90" s="1760">
        <v>0.1</v>
      </c>
      <c r="H90" s="1761">
        <v>0.125</v>
      </c>
      <c r="I90" s="1753">
        <f t="shared" si="5"/>
        <v>0.13750000000000001</v>
      </c>
      <c r="J90" s="1760">
        <v>0.1</v>
      </c>
      <c r="K90" s="1751">
        <v>0.75</v>
      </c>
      <c r="L90" s="1755">
        <v>10</v>
      </c>
    </row>
    <row r="91" spans="1:12" ht="20.100000000000001" customHeight="1">
      <c r="B91" s="1748"/>
      <c r="C91" s="1749"/>
      <c r="D91" s="1749"/>
      <c r="E91" s="1750" t="s">
        <v>1891</v>
      </c>
      <c r="F91" s="1760">
        <v>1</v>
      </c>
      <c r="G91" s="1760">
        <v>2</v>
      </c>
      <c r="H91" s="1761">
        <v>2.5</v>
      </c>
      <c r="I91" s="1753">
        <f t="shared" si="5"/>
        <v>2.75</v>
      </c>
      <c r="J91" s="1760">
        <v>2</v>
      </c>
      <c r="K91" s="1751">
        <v>1.5</v>
      </c>
      <c r="L91" s="1755">
        <v>10</v>
      </c>
    </row>
    <row r="92" spans="1:12" ht="20.100000000000001" customHeight="1">
      <c r="B92" s="1748"/>
      <c r="C92" s="1749"/>
      <c r="D92" s="1749"/>
      <c r="E92" s="1750" t="s">
        <v>1891</v>
      </c>
      <c r="F92" s="1760">
        <v>0.05</v>
      </c>
      <c r="G92" s="1760">
        <v>0.1</v>
      </c>
      <c r="H92" s="1761">
        <v>0.125</v>
      </c>
      <c r="I92" s="1753">
        <f t="shared" si="5"/>
        <v>0.13750000000000001</v>
      </c>
      <c r="J92" s="1760">
        <v>0.1</v>
      </c>
      <c r="K92" s="1751">
        <v>0.75</v>
      </c>
      <c r="L92" s="1755">
        <v>10</v>
      </c>
    </row>
    <row r="93" spans="1:12" ht="20.100000000000001" customHeight="1">
      <c r="B93" s="1748"/>
      <c r="C93" s="1749"/>
      <c r="D93" s="1749"/>
      <c r="E93" s="1750" t="s">
        <v>1892</v>
      </c>
      <c r="F93" s="1760">
        <v>0.05</v>
      </c>
      <c r="G93" s="1760">
        <v>7.0000000000000007E-2</v>
      </c>
      <c r="H93" s="1761">
        <v>0.11</v>
      </c>
      <c r="I93" s="1753">
        <f t="shared" si="5"/>
        <v>0.121</v>
      </c>
      <c r="J93" s="1760">
        <v>0.1</v>
      </c>
      <c r="K93" s="1751">
        <v>7.0000000000000007E-2</v>
      </c>
      <c r="L93" s="1755">
        <v>10</v>
      </c>
    </row>
    <row r="94" spans="1:12" s="830" customFormat="1" ht="20.100000000000001" customHeight="1">
      <c r="A94" s="831"/>
      <c r="B94" s="1756"/>
      <c r="C94" s="1749"/>
      <c r="D94" s="1749"/>
      <c r="E94" s="1762" t="s">
        <v>1893</v>
      </c>
      <c r="F94" s="1758">
        <v>0</v>
      </c>
      <c r="G94" s="1758">
        <v>0</v>
      </c>
      <c r="H94" s="1758">
        <v>0</v>
      </c>
      <c r="I94" s="1758">
        <v>0</v>
      </c>
      <c r="J94" s="1758">
        <v>0</v>
      </c>
      <c r="K94" s="1758">
        <v>0</v>
      </c>
      <c r="L94" s="1759">
        <v>0</v>
      </c>
    </row>
    <row r="95" spans="1:12" ht="20.100000000000001" customHeight="1">
      <c r="B95" s="1748"/>
      <c r="C95" s="1749"/>
      <c r="D95" s="1749"/>
      <c r="E95" s="1750" t="s">
        <v>1894</v>
      </c>
      <c r="F95" s="1760">
        <v>0.04</v>
      </c>
      <c r="G95" s="1760">
        <v>0.06</v>
      </c>
      <c r="H95" s="1761">
        <v>0.09</v>
      </c>
      <c r="I95" s="1753">
        <f t="shared" ref="I95:I109" si="6">(H95*L95%)+H95</f>
        <v>9.8999999999999991E-2</v>
      </c>
      <c r="J95" s="1760">
        <v>0.08</v>
      </c>
      <c r="K95" s="1751">
        <v>0.06</v>
      </c>
      <c r="L95" s="1755">
        <v>10</v>
      </c>
    </row>
    <row r="96" spans="1:12" ht="20.100000000000001" customHeight="1">
      <c r="B96" s="1748"/>
      <c r="C96" s="1749"/>
      <c r="D96" s="1749"/>
      <c r="E96" s="1750" t="s">
        <v>1895</v>
      </c>
      <c r="F96" s="1760">
        <v>0.05</v>
      </c>
      <c r="G96" s="1760">
        <v>7.0000000000000007E-2</v>
      </c>
      <c r="H96" s="1761">
        <v>0.11</v>
      </c>
      <c r="I96" s="1753">
        <f t="shared" si="6"/>
        <v>0.121</v>
      </c>
      <c r="J96" s="1760">
        <v>0.1</v>
      </c>
      <c r="K96" s="1751">
        <v>7.0000000000000007E-2</v>
      </c>
      <c r="L96" s="1755">
        <v>10</v>
      </c>
    </row>
    <row r="97" spans="1:12" ht="20.100000000000001" customHeight="1">
      <c r="B97" s="1748"/>
      <c r="C97" s="1749"/>
      <c r="D97" s="1749"/>
      <c r="E97" s="1750" t="s">
        <v>1896</v>
      </c>
      <c r="F97" s="1760">
        <v>0.04</v>
      </c>
      <c r="G97" s="1760">
        <v>0.06</v>
      </c>
      <c r="H97" s="1761">
        <v>0.09</v>
      </c>
      <c r="I97" s="1753">
        <f t="shared" si="6"/>
        <v>9.8999999999999991E-2</v>
      </c>
      <c r="J97" s="1760">
        <v>0.08</v>
      </c>
      <c r="K97" s="1751">
        <v>0.06</v>
      </c>
      <c r="L97" s="1755">
        <v>10</v>
      </c>
    </row>
    <row r="98" spans="1:12" ht="20.100000000000001" customHeight="1">
      <c r="B98" s="1748"/>
      <c r="C98" s="1749"/>
      <c r="D98" s="1749"/>
      <c r="E98" s="1750" t="s">
        <v>1897</v>
      </c>
      <c r="F98" s="1760">
        <v>0.05</v>
      </c>
      <c r="G98" s="1760">
        <v>7.0000000000000007E-2</v>
      </c>
      <c r="H98" s="1761">
        <v>0.11</v>
      </c>
      <c r="I98" s="1753">
        <f t="shared" si="6"/>
        <v>0.121</v>
      </c>
      <c r="J98" s="1760">
        <v>0.1</v>
      </c>
      <c r="K98" s="1751">
        <v>7.0000000000000007E-2</v>
      </c>
      <c r="L98" s="1755">
        <v>10</v>
      </c>
    </row>
    <row r="99" spans="1:12" ht="20.100000000000001" customHeight="1">
      <c r="B99" s="1748"/>
      <c r="C99" s="1749"/>
      <c r="D99" s="1749"/>
      <c r="E99" s="1750" t="s">
        <v>1898</v>
      </c>
      <c r="F99" s="1760">
        <v>0.1</v>
      </c>
      <c r="G99" s="1760">
        <v>0.14000000000000001</v>
      </c>
      <c r="H99" s="1761">
        <v>0.16</v>
      </c>
      <c r="I99" s="1753">
        <f t="shared" si="6"/>
        <v>0.17599999999999999</v>
      </c>
      <c r="J99" s="1760">
        <v>0.14000000000000001</v>
      </c>
      <c r="K99" s="1751">
        <v>0.1</v>
      </c>
      <c r="L99" s="1755">
        <v>10</v>
      </c>
    </row>
    <row r="100" spans="1:12" ht="20.100000000000001" customHeight="1">
      <c r="B100" s="1748"/>
      <c r="C100" s="1749"/>
      <c r="D100" s="1749"/>
      <c r="E100" s="1750" t="s">
        <v>1899</v>
      </c>
      <c r="F100" s="1760">
        <v>0.05</v>
      </c>
      <c r="G100" s="1760">
        <v>7.0000000000000007E-2</v>
      </c>
      <c r="H100" s="1761">
        <v>0.11</v>
      </c>
      <c r="I100" s="1753">
        <f t="shared" si="6"/>
        <v>0.121</v>
      </c>
      <c r="J100" s="1760">
        <v>0.1</v>
      </c>
      <c r="K100" s="1751">
        <v>7.0000000000000007E-2</v>
      </c>
      <c r="L100" s="1755">
        <v>10</v>
      </c>
    </row>
    <row r="101" spans="1:12" ht="20.100000000000001" customHeight="1">
      <c r="B101" s="1748"/>
      <c r="C101" s="1749"/>
      <c r="D101" s="1749"/>
      <c r="E101" s="1750" t="s">
        <v>1900</v>
      </c>
      <c r="F101" s="1760">
        <v>0.05</v>
      </c>
      <c r="G101" s="1760">
        <v>7.0000000000000007E-2</v>
      </c>
      <c r="H101" s="1761">
        <v>0.11</v>
      </c>
      <c r="I101" s="1753">
        <f t="shared" si="6"/>
        <v>0.121</v>
      </c>
      <c r="J101" s="1760">
        <v>0.1</v>
      </c>
      <c r="K101" s="1751">
        <v>7.0000000000000007E-2</v>
      </c>
      <c r="L101" s="1755">
        <v>10</v>
      </c>
    </row>
    <row r="102" spans="1:12" ht="20.100000000000001" customHeight="1">
      <c r="B102" s="1748"/>
      <c r="C102" s="1749"/>
      <c r="D102" s="1749"/>
      <c r="E102" s="1750" t="s">
        <v>1901</v>
      </c>
      <c r="F102" s="1760">
        <v>2</v>
      </c>
      <c r="G102" s="1760">
        <v>3</v>
      </c>
      <c r="H102" s="1761">
        <v>5</v>
      </c>
      <c r="I102" s="1753">
        <f t="shared" si="6"/>
        <v>5.5</v>
      </c>
      <c r="J102" s="1760">
        <v>5</v>
      </c>
      <c r="K102" s="1751">
        <v>3.5</v>
      </c>
      <c r="L102" s="1755">
        <v>10</v>
      </c>
    </row>
    <row r="103" spans="1:12" ht="20.100000000000001" customHeight="1">
      <c r="B103" s="1748"/>
      <c r="C103" s="1749"/>
      <c r="D103" s="1749"/>
      <c r="E103" s="1750" t="s">
        <v>1902</v>
      </c>
      <c r="F103" s="1760">
        <v>0.04</v>
      </c>
      <c r="G103" s="1760">
        <v>0.06</v>
      </c>
      <c r="H103" s="1761">
        <v>0.1</v>
      </c>
      <c r="I103" s="1753">
        <f t="shared" si="6"/>
        <v>0.11000000000000001</v>
      </c>
      <c r="J103" s="1760">
        <v>0.1</v>
      </c>
      <c r="K103" s="1751">
        <v>7.0000000000000007E-2</v>
      </c>
      <c r="L103" s="1755">
        <v>10</v>
      </c>
    </row>
    <row r="104" spans="1:12" ht="20.100000000000001" customHeight="1">
      <c r="B104" s="1748"/>
      <c r="C104" s="1749"/>
      <c r="D104" s="1749"/>
      <c r="E104" s="1750" t="s">
        <v>1903</v>
      </c>
      <c r="F104" s="1760">
        <v>0.05</v>
      </c>
      <c r="G104" s="1760">
        <v>7.0000000000000007E-2</v>
      </c>
      <c r="H104" s="1761">
        <v>0.11</v>
      </c>
      <c r="I104" s="1753">
        <f t="shared" si="6"/>
        <v>0.121</v>
      </c>
      <c r="J104" s="1760">
        <v>0.1</v>
      </c>
      <c r="K104" s="1751">
        <v>7.0000000000000007E-2</v>
      </c>
      <c r="L104" s="1755">
        <v>10</v>
      </c>
    </row>
    <row r="105" spans="1:12" ht="20.100000000000001" customHeight="1">
      <c r="B105" s="1748"/>
      <c r="C105" s="1749"/>
      <c r="D105" s="1749"/>
      <c r="E105" s="1750" t="s">
        <v>1904</v>
      </c>
      <c r="F105" s="1760">
        <v>0.1</v>
      </c>
      <c r="G105" s="1760">
        <v>0.14000000000000001</v>
      </c>
      <c r="H105" s="1761">
        <v>0.16</v>
      </c>
      <c r="I105" s="1753">
        <f t="shared" si="6"/>
        <v>0.17599999999999999</v>
      </c>
      <c r="J105" s="1760">
        <v>0.14000000000000001</v>
      </c>
      <c r="K105" s="1751">
        <v>0.1</v>
      </c>
      <c r="L105" s="1755">
        <v>10</v>
      </c>
    </row>
    <row r="106" spans="1:12" ht="20.100000000000001" customHeight="1">
      <c r="B106" s="1748"/>
      <c r="C106" s="1749"/>
      <c r="D106" s="1749"/>
      <c r="E106" s="1750" t="s">
        <v>1905</v>
      </c>
      <c r="F106" s="1760">
        <v>0</v>
      </c>
      <c r="G106" s="1760">
        <v>0</v>
      </c>
      <c r="H106" s="1761">
        <v>0.16</v>
      </c>
      <c r="I106" s="1753">
        <f t="shared" si="6"/>
        <v>0.17599999999999999</v>
      </c>
      <c r="J106" s="1760">
        <v>0.14000000000000001</v>
      </c>
      <c r="K106" s="1751">
        <v>0.1</v>
      </c>
      <c r="L106" s="1755">
        <v>10</v>
      </c>
    </row>
    <row r="107" spans="1:12" ht="20.100000000000001" customHeight="1">
      <c r="B107" s="1748"/>
      <c r="C107" s="1749"/>
      <c r="D107" s="1749"/>
      <c r="E107" s="1750" t="s">
        <v>1906</v>
      </c>
      <c r="F107" s="1760">
        <v>0.05</v>
      </c>
      <c r="G107" s="1760">
        <v>7.0000000000000007E-2</v>
      </c>
      <c r="H107" s="1761">
        <v>0.11</v>
      </c>
      <c r="I107" s="1753">
        <f t="shared" si="6"/>
        <v>0.121</v>
      </c>
      <c r="J107" s="1760">
        <v>0.1</v>
      </c>
      <c r="K107" s="1751">
        <v>7.0000000000000007E-2</v>
      </c>
      <c r="L107" s="1755">
        <v>10</v>
      </c>
    </row>
    <row r="108" spans="1:12" ht="20.100000000000001" customHeight="1">
      <c r="B108" s="1748"/>
      <c r="C108" s="1749"/>
      <c r="D108" s="1749"/>
      <c r="E108" s="1750" t="s">
        <v>1907</v>
      </c>
      <c r="F108" s="1760">
        <v>1</v>
      </c>
      <c r="G108" s="1760">
        <v>2</v>
      </c>
      <c r="H108" s="1761">
        <v>2.5</v>
      </c>
      <c r="I108" s="1753">
        <f t="shared" si="6"/>
        <v>2.75</v>
      </c>
      <c r="J108" s="1760">
        <v>2</v>
      </c>
      <c r="K108" s="1751">
        <v>1.5</v>
      </c>
      <c r="L108" s="1755">
        <v>10</v>
      </c>
    </row>
    <row r="109" spans="1:12" ht="20.100000000000001" customHeight="1">
      <c r="B109" s="1748"/>
      <c r="C109" s="1749"/>
      <c r="D109" s="1749"/>
      <c r="E109" s="1750" t="s">
        <v>1908</v>
      </c>
      <c r="F109" s="1760">
        <v>0.05</v>
      </c>
      <c r="G109" s="1760">
        <v>0.1</v>
      </c>
      <c r="H109" s="1761">
        <v>0.125</v>
      </c>
      <c r="I109" s="1753">
        <f t="shared" si="6"/>
        <v>0.13750000000000001</v>
      </c>
      <c r="J109" s="1760">
        <v>0.1</v>
      </c>
      <c r="K109" s="1751">
        <v>7.4999999999999997E-2</v>
      </c>
      <c r="L109" s="1755">
        <v>10</v>
      </c>
    </row>
    <row r="110" spans="1:12" s="830" customFormat="1" ht="20.100000000000001" customHeight="1">
      <c r="A110" s="831"/>
      <c r="B110" s="1756"/>
      <c r="C110" s="1749"/>
      <c r="D110" s="1749"/>
      <c r="E110" s="1762" t="s">
        <v>1909</v>
      </c>
      <c r="F110" s="1758">
        <v>0</v>
      </c>
      <c r="G110" s="1758">
        <v>0</v>
      </c>
      <c r="H110" s="1758">
        <v>0</v>
      </c>
      <c r="I110" s="1758">
        <v>0</v>
      </c>
      <c r="J110" s="1758">
        <v>0</v>
      </c>
      <c r="K110" s="1758">
        <v>0</v>
      </c>
      <c r="L110" s="1759">
        <v>0</v>
      </c>
    </row>
    <row r="111" spans="1:12" ht="20.100000000000001" customHeight="1">
      <c r="B111" s="1748"/>
      <c r="C111" s="1749"/>
      <c r="D111" s="1749"/>
      <c r="E111" s="1750" t="s">
        <v>1910</v>
      </c>
      <c r="F111" s="1760">
        <v>0.05</v>
      </c>
      <c r="G111" s="1760">
        <v>7.0000000000000007E-2</v>
      </c>
      <c r="H111" s="1761">
        <v>0.11</v>
      </c>
      <c r="I111" s="1753">
        <f>(H111*L111%)+H111</f>
        <v>0.121</v>
      </c>
      <c r="J111" s="1760">
        <v>0.1</v>
      </c>
      <c r="K111" s="1751">
        <v>7.0000000000000007E-2</v>
      </c>
      <c r="L111" s="1755">
        <v>10</v>
      </c>
    </row>
    <row r="112" spans="1:12" ht="20.100000000000001" customHeight="1">
      <c r="B112" s="1748"/>
      <c r="C112" s="1749"/>
      <c r="D112" s="1749"/>
      <c r="E112" s="1750" t="s">
        <v>1911</v>
      </c>
      <c r="F112" s="1760">
        <v>0.05</v>
      </c>
      <c r="G112" s="1760">
        <v>7.0000000000000007E-2</v>
      </c>
      <c r="H112" s="1761">
        <v>0.15</v>
      </c>
      <c r="I112" s="1753">
        <f>(H112*L112%)+H112</f>
        <v>0.16499999999999998</v>
      </c>
      <c r="J112" s="1760">
        <v>0.15</v>
      </c>
      <c r="K112" s="1751">
        <v>0.14000000000000001</v>
      </c>
      <c r="L112" s="1755">
        <v>10</v>
      </c>
    </row>
    <row r="113" spans="1:12" s="830" customFormat="1" ht="20.100000000000001" customHeight="1">
      <c r="A113" s="831"/>
      <c r="B113" s="1756"/>
      <c r="C113" s="1749"/>
      <c r="D113" s="1749"/>
      <c r="E113" s="1762" t="s">
        <v>1912</v>
      </c>
      <c r="F113" s="1758">
        <v>0</v>
      </c>
      <c r="G113" s="1758">
        <v>0</v>
      </c>
      <c r="H113" s="1758">
        <v>0</v>
      </c>
      <c r="I113" s="1758">
        <v>0</v>
      </c>
      <c r="J113" s="1758">
        <v>0</v>
      </c>
      <c r="K113" s="1758">
        <v>0</v>
      </c>
      <c r="L113" s="1759">
        <v>0</v>
      </c>
    </row>
    <row r="114" spans="1:12" ht="20.100000000000001" customHeight="1">
      <c r="B114" s="1748"/>
      <c r="C114" s="1749"/>
      <c r="D114" s="1749"/>
      <c r="E114" s="1750" t="s">
        <v>1913</v>
      </c>
      <c r="F114" s="1760">
        <v>1</v>
      </c>
      <c r="G114" s="1760">
        <v>2</v>
      </c>
      <c r="H114" s="1761">
        <v>2.5</v>
      </c>
      <c r="I114" s="1753">
        <f>(H114*L114%)+H114</f>
        <v>2.75</v>
      </c>
      <c r="J114" s="1760">
        <v>2</v>
      </c>
      <c r="K114" s="1751">
        <v>1.5</v>
      </c>
      <c r="L114" s="1755">
        <v>10</v>
      </c>
    </row>
    <row r="115" spans="1:12" ht="20.100000000000001" customHeight="1">
      <c r="B115" s="1748"/>
      <c r="C115" s="1749"/>
      <c r="D115" s="1749"/>
      <c r="E115" s="1750" t="s">
        <v>1914</v>
      </c>
      <c r="F115" s="1760">
        <v>0.06</v>
      </c>
      <c r="G115" s="1760">
        <v>0.09</v>
      </c>
      <c r="H115" s="1761">
        <v>0.11</v>
      </c>
      <c r="I115" s="1753">
        <f>(H115*L115%)+H115</f>
        <v>0.121</v>
      </c>
      <c r="J115" s="1760">
        <v>0.09</v>
      </c>
      <c r="K115" s="1751">
        <v>0.06</v>
      </c>
      <c r="L115" s="1755">
        <v>10</v>
      </c>
    </row>
    <row r="116" spans="1:12" s="830" customFormat="1" ht="20.100000000000001" customHeight="1">
      <c r="A116" s="831"/>
      <c r="B116" s="1756"/>
      <c r="C116" s="1749"/>
      <c r="D116" s="1749"/>
      <c r="E116" s="1762" t="s">
        <v>1915</v>
      </c>
      <c r="F116" s="1758">
        <v>0</v>
      </c>
      <c r="G116" s="1758">
        <v>0</v>
      </c>
      <c r="H116" s="1758">
        <v>0</v>
      </c>
      <c r="I116" s="1758">
        <v>0</v>
      </c>
      <c r="J116" s="1758">
        <v>0</v>
      </c>
      <c r="K116" s="1758">
        <v>0</v>
      </c>
      <c r="L116" s="1759">
        <v>0</v>
      </c>
    </row>
    <row r="117" spans="1:12" ht="20.100000000000001" customHeight="1">
      <c r="B117" s="1748"/>
      <c r="C117" s="1749"/>
      <c r="D117" s="1749"/>
      <c r="E117" s="1750" t="s">
        <v>1916</v>
      </c>
      <c r="F117" s="1760">
        <v>0.05</v>
      </c>
      <c r="G117" s="1760">
        <v>7.0000000000000007E-2</v>
      </c>
      <c r="H117" s="1761">
        <v>0.11</v>
      </c>
      <c r="I117" s="1753">
        <f>(H117*L117%)+H117</f>
        <v>0.121</v>
      </c>
      <c r="J117" s="1760">
        <v>0.1</v>
      </c>
      <c r="K117" s="1751">
        <v>7.0000000000000007E-2</v>
      </c>
      <c r="L117" s="1755">
        <v>10</v>
      </c>
    </row>
    <row r="118" spans="1:12" ht="20.100000000000001" customHeight="1">
      <c r="B118" s="1748"/>
      <c r="C118" s="1749"/>
      <c r="D118" s="1749"/>
      <c r="E118" s="1750" t="s">
        <v>1917</v>
      </c>
      <c r="F118" s="1760">
        <v>0.05</v>
      </c>
      <c r="G118" s="1760">
        <v>7.0000000000000007E-2</v>
      </c>
      <c r="H118" s="1761">
        <v>0.11</v>
      </c>
      <c r="I118" s="1753">
        <f>(H118*L118%)+H118</f>
        <v>0.121</v>
      </c>
      <c r="J118" s="1760">
        <v>0.1</v>
      </c>
      <c r="K118" s="1751">
        <v>7.0000000000000007E-2</v>
      </c>
      <c r="L118" s="1755">
        <v>10</v>
      </c>
    </row>
    <row r="119" spans="1:12" ht="20.100000000000001" customHeight="1">
      <c r="B119" s="1748"/>
      <c r="C119" s="1749"/>
      <c r="D119" s="1749"/>
      <c r="E119" s="1750" t="s">
        <v>1918</v>
      </c>
      <c r="F119" s="1760">
        <v>0</v>
      </c>
      <c r="G119" s="1760">
        <v>0</v>
      </c>
      <c r="H119" s="1761">
        <v>1.1299999999999999</v>
      </c>
      <c r="I119" s="1753">
        <f>(H119*L119%)+H119</f>
        <v>1.2429999999999999</v>
      </c>
      <c r="J119" s="1760">
        <v>0.12</v>
      </c>
      <c r="K119" s="1751">
        <v>0.08</v>
      </c>
      <c r="L119" s="1755">
        <v>10</v>
      </c>
    </row>
    <row r="120" spans="1:12" ht="20.100000000000001" customHeight="1">
      <c r="B120" s="1748"/>
      <c r="C120" s="1749"/>
      <c r="D120" s="1749"/>
      <c r="E120" s="1750" t="s">
        <v>1919</v>
      </c>
      <c r="F120" s="1760">
        <v>0.05</v>
      </c>
      <c r="G120" s="1760">
        <v>7.0000000000000007E-2</v>
      </c>
      <c r="H120" s="1761">
        <v>0.11</v>
      </c>
      <c r="I120" s="1753">
        <f>(H120*L120%)+H120</f>
        <v>0.121</v>
      </c>
      <c r="J120" s="1760">
        <v>0.1</v>
      </c>
      <c r="K120" s="1751">
        <v>7.0000000000000007E-2</v>
      </c>
      <c r="L120" s="1755">
        <v>10</v>
      </c>
    </row>
    <row r="121" spans="1:12" s="833" customFormat="1" ht="20.100000000000001" customHeight="1">
      <c r="A121" s="831"/>
      <c r="B121" s="1748"/>
      <c r="C121" s="1749"/>
      <c r="D121" s="1749"/>
      <c r="E121" s="1762" t="s">
        <v>1920</v>
      </c>
      <c r="F121" s="1760">
        <v>0</v>
      </c>
      <c r="G121" s="1760">
        <v>0</v>
      </c>
      <c r="H121" s="1761">
        <v>0.16</v>
      </c>
      <c r="I121" s="1753" t="e">
        <f>(H121*#REF!%)+H121</f>
        <v>#REF!</v>
      </c>
      <c r="J121" s="1760">
        <v>0.15</v>
      </c>
      <c r="K121" s="1751">
        <v>0.11</v>
      </c>
      <c r="L121" s="1755">
        <v>10</v>
      </c>
    </row>
    <row r="122" spans="1:12" s="830" customFormat="1" ht="20.100000000000001" customHeight="1">
      <c r="A122" s="831"/>
      <c r="B122" s="1756"/>
      <c r="C122" s="1749"/>
      <c r="D122" s="1749"/>
      <c r="E122" s="1762" t="s">
        <v>1921</v>
      </c>
      <c r="F122" s="1758">
        <v>0</v>
      </c>
      <c r="G122" s="1758">
        <v>0</v>
      </c>
      <c r="H122" s="1758">
        <v>0</v>
      </c>
      <c r="I122" s="1758">
        <v>0</v>
      </c>
      <c r="J122" s="1758">
        <v>0</v>
      </c>
      <c r="K122" s="1758">
        <v>0</v>
      </c>
      <c r="L122" s="1759">
        <v>0</v>
      </c>
    </row>
    <row r="123" spans="1:12" ht="20.100000000000001" customHeight="1">
      <c r="B123" s="1748"/>
      <c r="C123" s="1749"/>
      <c r="D123" s="1749"/>
      <c r="E123" s="1750" t="s">
        <v>1922</v>
      </c>
      <c r="F123" s="1760">
        <v>0.05</v>
      </c>
      <c r="G123" s="1760">
        <v>7.0000000000000007E-2</v>
      </c>
      <c r="H123" s="1761">
        <v>0.11</v>
      </c>
      <c r="I123" s="1753">
        <f t="shared" ref="I123:I128" si="7">(H123*L123%)+H123</f>
        <v>0.121</v>
      </c>
      <c r="J123" s="1760">
        <v>0.1</v>
      </c>
      <c r="K123" s="1751">
        <v>7.0000000000000007E-2</v>
      </c>
      <c r="L123" s="1755">
        <v>10</v>
      </c>
    </row>
    <row r="124" spans="1:12" s="833" customFormat="1" ht="20.100000000000001" customHeight="1">
      <c r="A124" s="907"/>
      <c r="B124" s="1748"/>
      <c r="C124" s="1749"/>
      <c r="D124" s="1749"/>
      <c r="E124" s="1750" t="s">
        <v>1923</v>
      </c>
      <c r="F124" s="1760">
        <v>0.05</v>
      </c>
      <c r="G124" s="1760">
        <v>7.0000000000000007E-2</v>
      </c>
      <c r="H124" s="1761">
        <v>0.11</v>
      </c>
      <c r="I124" s="1753">
        <f t="shared" si="7"/>
        <v>0.121</v>
      </c>
      <c r="J124" s="1760">
        <v>0.1</v>
      </c>
      <c r="K124" s="1751">
        <v>7.0000000000000007E-2</v>
      </c>
      <c r="L124" s="1755">
        <v>10</v>
      </c>
    </row>
    <row r="125" spans="1:12" s="833" customFormat="1" ht="20.100000000000001" customHeight="1">
      <c r="A125" s="831"/>
      <c r="B125" s="1748"/>
      <c r="C125" s="1749"/>
      <c r="D125" s="1749"/>
      <c r="E125" s="1750" t="s">
        <v>1924</v>
      </c>
      <c r="F125" s="1760">
        <v>0.18</v>
      </c>
      <c r="G125" s="1760">
        <v>0.25</v>
      </c>
      <c r="H125" s="1761">
        <v>0.28000000000000003</v>
      </c>
      <c r="I125" s="1753">
        <f t="shared" si="7"/>
        <v>0.30800000000000005</v>
      </c>
      <c r="J125" s="1760">
        <v>0.25</v>
      </c>
      <c r="K125" s="1751">
        <v>0.17</v>
      </c>
      <c r="L125" s="1755">
        <v>10</v>
      </c>
    </row>
    <row r="126" spans="1:12" s="833" customFormat="1" ht="20.100000000000001" customHeight="1">
      <c r="A126" s="831"/>
      <c r="B126" s="1748"/>
      <c r="C126" s="1749"/>
      <c r="D126" s="1749"/>
      <c r="E126" s="1750" t="s">
        <v>1925</v>
      </c>
      <c r="F126" s="1760">
        <v>0.1</v>
      </c>
      <c r="G126" s="1760">
        <v>0.15</v>
      </c>
      <c r="H126" s="1761">
        <v>0.2</v>
      </c>
      <c r="I126" s="1753">
        <f t="shared" si="7"/>
        <v>0.22000000000000003</v>
      </c>
      <c r="J126" s="1760">
        <v>0.15</v>
      </c>
      <c r="K126" s="1751">
        <v>0.15</v>
      </c>
      <c r="L126" s="1755">
        <v>10</v>
      </c>
    </row>
    <row r="127" spans="1:12" s="833" customFormat="1" ht="20.100000000000001" customHeight="1">
      <c r="A127" s="831"/>
      <c r="B127" s="1748"/>
      <c r="C127" s="1749"/>
      <c r="D127" s="1749"/>
      <c r="E127" s="1750" t="s">
        <v>1926</v>
      </c>
      <c r="F127" s="1760">
        <v>0.06</v>
      </c>
      <c r="G127" s="1760">
        <v>0.08</v>
      </c>
      <c r="H127" s="1761">
        <v>0.14000000000000001</v>
      </c>
      <c r="I127" s="1753">
        <f t="shared" si="7"/>
        <v>0.15400000000000003</v>
      </c>
      <c r="J127" s="1760">
        <v>0.12</v>
      </c>
      <c r="K127" s="1751">
        <v>0.08</v>
      </c>
      <c r="L127" s="1755">
        <v>10</v>
      </c>
    </row>
    <row r="128" spans="1:12" ht="20.100000000000001" customHeight="1">
      <c r="B128" s="1748"/>
      <c r="C128" s="1749"/>
      <c r="D128" s="1749"/>
      <c r="E128" s="1750" t="s">
        <v>1927</v>
      </c>
      <c r="F128" s="1760">
        <v>0.1</v>
      </c>
      <c r="G128" s="1760">
        <v>0.1</v>
      </c>
      <c r="H128" s="1761">
        <v>0.15</v>
      </c>
      <c r="I128" s="1753">
        <f t="shared" si="7"/>
        <v>0.16499999999999998</v>
      </c>
      <c r="J128" s="1760">
        <v>0.15</v>
      </c>
      <c r="K128" s="1751">
        <v>0.15</v>
      </c>
      <c r="L128" s="1755">
        <v>10</v>
      </c>
    </row>
    <row r="129" spans="1:12" s="830" customFormat="1" ht="20.100000000000001" customHeight="1">
      <c r="A129" s="831"/>
      <c r="B129" s="1756"/>
      <c r="C129" s="1749"/>
      <c r="D129" s="1749"/>
      <c r="E129" s="1762" t="s">
        <v>1928</v>
      </c>
      <c r="F129" s="1758">
        <v>0</v>
      </c>
      <c r="G129" s="1758">
        <v>0</v>
      </c>
      <c r="H129" s="1758">
        <v>0</v>
      </c>
      <c r="I129" s="1758">
        <v>0</v>
      </c>
      <c r="J129" s="1758">
        <v>0</v>
      </c>
      <c r="K129" s="1758">
        <v>0</v>
      </c>
      <c r="L129" s="1759">
        <v>0</v>
      </c>
    </row>
    <row r="130" spans="1:12" ht="20.100000000000001" customHeight="1">
      <c r="B130" s="1748"/>
      <c r="C130" s="1749"/>
      <c r="D130" s="1749"/>
      <c r="E130" s="1750" t="s">
        <v>1929</v>
      </c>
      <c r="F130" s="1760">
        <v>0.12</v>
      </c>
      <c r="G130" s="1760">
        <v>0.17499999999999999</v>
      </c>
      <c r="H130" s="1761">
        <v>0.22</v>
      </c>
      <c r="I130" s="1753">
        <f t="shared" ref="I130:I139" si="8">(H130*L130%)+H130</f>
        <v>0.24199999999999999</v>
      </c>
      <c r="J130" s="1760">
        <v>0.2</v>
      </c>
      <c r="K130" s="1751">
        <v>0.2</v>
      </c>
      <c r="L130" s="1755">
        <v>10</v>
      </c>
    </row>
    <row r="131" spans="1:12" ht="20.100000000000001" customHeight="1">
      <c r="B131" s="1748"/>
      <c r="C131" s="1749"/>
      <c r="D131" s="1749"/>
      <c r="E131" s="1750" t="s">
        <v>1930</v>
      </c>
      <c r="F131" s="1760">
        <v>0.15</v>
      </c>
      <c r="G131" s="1760">
        <v>1.18</v>
      </c>
      <c r="H131" s="1761">
        <v>0.25</v>
      </c>
      <c r="I131" s="1753">
        <f t="shared" si="8"/>
        <v>0.27500000000000002</v>
      </c>
      <c r="J131" s="1760">
        <v>0.23</v>
      </c>
      <c r="K131" s="1751">
        <v>0.23</v>
      </c>
      <c r="L131" s="1755">
        <v>10</v>
      </c>
    </row>
    <row r="132" spans="1:12" ht="20.100000000000001" customHeight="1">
      <c r="B132" s="1748"/>
      <c r="C132" s="1749"/>
      <c r="D132" s="1749"/>
      <c r="E132" s="1750" t="s">
        <v>1217</v>
      </c>
      <c r="F132" s="1760">
        <v>0.12</v>
      </c>
      <c r="G132" s="1760">
        <v>0.17</v>
      </c>
      <c r="H132" s="1761">
        <v>0.22</v>
      </c>
      <c r="I132" s="1753">
        <f t="shared" si="8"/>
        <v>0.24199999999999999</v>
      </c>
      <c r="J132" s="1760">
        <v>0.2</v>
      </c>
      <c r="K132" s="1751">
        <v>0.2</v>
      </c>
      <c r="L132" s="1755">
        <v>10</v>
      </c>
    </row>
    <row r="133" spans="1:12" ht="20.100000000000001" customHeight="1">
      <c r="B133" s="1748"/>
      <c r="C133" s="1749"/>
      <c r="D133" s="1749"/>
      <c r="E133" s="1750" t="s">
        <v>1931</v>
      </c>
      <c r="F133" s="1760">
        <v>0.12</v>
      </c>
      <c r="G133" s="1760">
        <v>0.17</v>
      </c>
      <c r="H133" s="1761">
        <v>0.22</v>
      </c>
      <c r="I133" s="1753">
        <f t="shared" si="8"/>
        <v>0.24199999999999999</v>
      </c>
      <c r="J133" s="1760">
        <v>0.2</v>
      </c>
      <c r="K133" s="1751">
        <v>0.2</v>
      </c>
      <c r="L133" s="1755">
        <v>10</v>
      </c>
    </row>
    <row r="134" spans="1:12" ht="20.100000000000001" customHeight="1">
      <c r="B134" s="1756"/>
      <c r="C134" s="1749"/>
      <c r="D134" s="1749"/>
      <c r="E134" s="1762" t="s">
        <v>1932</v>
      </c>
      <c r="F134" s="1760">
        <v>0.05</v>
      </c>
      <c r="G134" s="1760">
        <v>7.0000000000000007E-2</v>
      </c>
      <c r="H134" s="1761">
        <v>0.08</v>
      </c>
      <c r="I134" s="1753">
        <f t="shared" si="8"/>
        <v>8.7999999999999995E-2</v>
      </c>
      <c r="J134" s="1760">
        <v>8.0000000000000002E-3</v>
      </c>
      <c r="K134" s="1751">
        <v>8.0000000000000002E-3</v>
      </c>
      <c r="L134" s="1755">
        <v>10</v>
      </c>
    </row>
    <row r="135" spans="1:12" ht="20.100000000000001" customHeight="1">
      <c r="B135" s="1748"/>
      <c r="C135" s="1749"/>
      <c r="D135" s="1749"/>
      <c r="E135" s="1750" t="s">
        <v>1933</v>
      </c>
      <c r="F135" s="1760">
        <v>5.0000000000000001E-3</v>
      </c>
      <c r="G135" s="1760">
        <v>7.0000000000000001E-3</v>
      </c>
      <c r="H135" s="1761">
        <v>8.0000000000000002E-3</v>
      </c>
      <c r="I135" s="1753">
        <f t="shared" si="8"/>
        <v>8.8000000000000005E-3</v>
      </c>
      <c r="J135" s="1760">
        <v>8.0000000000000002E-3</v>
      </c>
      <c r="K135" s="1751">
        <v>8.0000000000000002E-3</v>
      </c>
      <c r="L135" s="1755">
        <v>10</v>
      </c>
    </row>
    <row r="136" spans="1:12" ht="20.100000000000001" customHeight="1">
      <c r="B136" s="1748"/>
      <c r="C136" s="1749"/>
      <c r="D136" s="1749"/>
      <c r="E136" s="1750" t="s">
        <v>1934</v>
      </c>
      <c r="F136" s="1760">
        <v>0.05</v>
      </c>
      <c r="G136" s="1760">
        <v>7.0000000000000007E-2</v>
      </c>
      <c r="H136" s="1761">
        <v>0.08</v>
      </c>
      <c r="I136" s="1753">
        <f t="shared" si="8"/>
        <v>8.7999999999999995E-2</v>
      </c>
      <c r="J136" s="1760">
        <v>8.0000000000000002E-3</v>
      </c>
      <c r="K136" s="1751">
        <v>8.0000000000000002E-3</v>
      </c>
      <c r="L136" s="1755">
        <v>10</v>
      </c>
    </row>
    <row r="137" spans="1:12" ht="20.100000000000001" customHeight="1">
      <c r="B137" s="1748"/>
      <c r="C137" s="1749"/>
      <c r="D137" s="1749"/>
      <c r="E137" s="1750" t="s">
        <v>1935</v>
      </c>
      <c r="F137" s="1760">
        <v>2.5000000000000001E-2</v>
      </c>
      <c r="G137" s="1760">
        <v>0.03</v>
      </c>
      <c r="H137" s="1761">
        <v>0.04</v>
      </c>
      <c r="I137" s="1753">
        <f t="shared" si="8"/>
        <v>4.3999999999999997E-2</v>
      </c>
      <c r="J137" s="1760">
        <v>0.04</v>
      </c>
      <c r="K137" s="1751">
        <v>3.5000000000000003E-2</v>
      </c>
      <c r="L137" s="1755">
        <v>10</v>
      </c>
    </row>
    <row r="138" spans="1:12" ht="20.100000000000001" customHeight="1">
      <c r="B138" s="1748"/>
      <c r="C138" s="1749"/>
      <c r="D138" s="1749"/>
      <c r="E138" s="1750" t="s">
        <v>1936</v>
      </c>
      <c r="F138" s="1760">
        <v>0.03</v>
      </c>
      <c r="G138" s="1760">
        <v>0.04</v>
      </c>
      <c r="H138" s="1761">
        <v>0.06</v>
      </c>
      <c r="I138" s="1753">
        <f t="shared" si="8"/>
        <v>6.6000000000000003E-2</v>
      </c>
      <c r="J138" s="1760">
        <v>0.06</v>
      </c>
      <c r="K138" s="1751">
        <v>0.04</v>
      </c>
      <c r="L138" s="1755">
        <v>10</v>
      </c>
    </row>
    <row r="139" spans="1:12" ht="20.100000000000001" customHeight="1">
      <c r="B139" s="1748"/>
      <c r="C139" s="1749"/>
      <c r="D139" s="1749"/>
      <c r="E139" s="1750" t="s">
        <v>1937</v>
      </c>
      <c r="F139" s="1760">
        <v>0.02</v>
      </c>
      <c r="G139" s="1760">
        <v>0.03</v>
      </c>
      <c r="H139" s="1761">
        <v>3.5000000000000003E-2</v>
      </c>
      <c r="I139" s="1753">
        <f t="shared" si="8"/>
        <v>3.8500000000000006E-2</v>
      </c>
      <c r="J139" s="1760">
        <v>0.04</v>
      </c>
      <c r="K139" s="1751">
        <v>0.04</v>
      </c>
      <c r="L139" s="1755">
        <v>10</v>
      </c>
    </row>
    <row r="140" spans="1:12" s="830" customFormat="1" ht="20.100000000000001" customHeight="1">
      <c r="A140" s="831"/>
      <c r="B140" s="1756"/>
      <c r="C140" s="1749"/>
      <c r="D140" s="1749"/>
      <c r="E140" s="1762" t="s">
        <v>1938</v>
      </c>
      <c r="F140" s="1758">
        <v>0</v>
      </c>
      <c r="G140" s="1758">
        <v>0</v>
      </c>
      <c r="H140" s="1758">
        <v>0</v>
      </c>
      <c r="I140" s="1758">
        <v>0</v>
      </c>
      <c r="J140" s="1758">
        <v>0</v>
      </c>
      <c r="K140" s="1758">
        <v>0</v>
      </c>
      <c r="L140" s="1759">
        <v>0</v>
      </c>
    </row>
    <row r="141" spans="1:12" ht="20.100000000000001" customHeight="1">
      <c r="B141" s="1748"/>
      <c r="C141" s="1749"/>
      <c r="D141" s="1749"/>
      <c r="E141" s="1750" t="s">
        <v>1939</v>
      </c>
      <c r="F141" s="1760">
        <v>0.11</v>
      </c>
      <c r="G141" s="1760">
        <v>0.11</v>
      </c>
      <c r="H141" s="1761">
        <v>0.111</v>
      </c>
      <c r="I141" s="1753">
        <f>(H141*L141%)+H141</f>
        <v>0.1221</v>
      </c>
      <c r="J141" s="1760">
        <v>0.1</v>
      </c>
      <c r="K141" s="1751">
        <v>0.1</v>
      </c>
      <c r="L141" s="1755">
        <v>10</v>
      </c>
    </row>
    <row r="142" spans="1:12" ht="20.100000000000001" customHeight="1">
      <c r="B142" s="1748"/>
      <c r="C142" s="1749"/>
      <c r="D142" s="1749"/>
      <c r="E142" s="1750" t="s">
        <v>1260</v>
      </c>
      <c r="F142" s="1760">
        <v>0.115</v>
      </c>
      <c r="G142" s="1760">
        <v>0.115</v>
      </c>
      <c r="H142" s="1761">
        <v>0.11600000000000001</v>
      </c>
      <c r="I142" s="1753">
        <f>(H142*L142%)+H142</f>
        <v>0.12760000000000002</v>
      </c>
      <c r="J142" s="1760">
        <v>0.115</v>
      </c>
      <c r="K142" s="1751">
        <v>0.115</v>
      </c>
      <c r="L142" s="1755">
        <v>10</v>
      </c>
    </row>
    <row r="143" spans="1:12" ht="20.100000000000001" customHeight="1">
      <c r="B143" s="1748"/>
      <c r="C143" s="1749"/>
      <c r="D143" s="1749"/>
      <c r="E143" s="1750" t="s">
        <v>1940</v>
      </c>
      <c r="F143" s="1760">
        <v>0.06</v>
      </c>
      <c r="G143" s="1760">
        <v>0.06</v>
      </c>
      <c r="H143" s="1761">
        <v>0.12</v>
      </c>
      <c r="I143" s="1753">
        <f>(H143*L143%)+H143</f>
        <v>0.13200000000000001</v>
      </c>
      <c r="J143" s="1760">
        <v>0.12</v>
      </c>
      <c r="K143" s="1751">
        <v>0.12</v>
      </c>
      <c r="L143" s="1755">
        <v>10</v>
      </c>
    </row>
    <row r="144" spans="1:12" ht="20.100000000000001" customHeight="1">
      <c r="B144" s="1748"/>
      <c r="C144" s="1749"/>
      <c r="D144" s="1749"/>
      <c r="E144" s="1750" t="s">
        <v>1941</v>
      </c>
      <c r="F144" s="1760">
        <v>0.125</v>
      </c>
      <c r="G144" s="1760">
        <v>0.125</v>
      </c>
      <c r="H144" s="1761">
        <v>0.125</v>
      </c>
      <c r="I144" s="1753">
        <f>(H144*L144%)+H144</f>
        <v>0.13750000000000001</v>
      </c>
      <c r="J144" s="1760">
        <v>0</v>
      </c>
      <c r="K144" s="1751">
        <v>0</v>
      </c>
      <c r="L144" s="1755">
        <v>10</v>
      </c>
    </row>
    <row r="145" spans="1:12" s="830" customFormat="1" ht="20.100000000000001" customHeight="1">
      <c r="A145" s="831"/>
      <c r="B145" s="1756"/>
      <c r="C145" s="1749"/>
      <c r="D145" s="1749"/>
      <c r="E145" s="1762" t="s">
        <v>1942</v>
      </c>
      <c r="F145" s="1758">
        <v>0</v>
      </c>
      <c r="G145" s="1758">
        <v>0</v>
      </c>
      <c r="H145" s="1758">
        <v>0</v>
      </c>
      <c r="I145" s="1758">
        <v>0</v>
      </c>
      <c r="J145" s="1758">
        <v>0</v>
      </c>
      <c r="K145" s="1758">
        <v>0</v>
      </c>
      <c r="L145" s="1759">
        <v>0</v>
      </c>
    </row>
    <row r="146" spans="1:12" ht="20.100000000000001" customHeight="1">
      <c r="B146" s="1748"/>
      <c r="C146" s="1749"/>
      <c r="D146" s="1749"/>
      <c r="E146" s="1750" t="s">
        <v>1943</v>
      </c>
      <c r="F146" s="1760">
        <v>0.1</v>
      </c>
      <c r="G146" s="1760">
        <v>0.1</v>
      </c>
      <c r="H146" s="1761">
        <v>0.1</v>
      </c>
      <c r="I146" s="1753">
        <f t="shared" ref="I146:I153" si="9">(H146*L146%)+H146</f>
        <v>0.11000000000000001</v>
      </c>
      <c r="J146" s="1760">
        <v>0.1</v>
      </c>
      <c r="K146" s="1751">
        <v>0.1</v>
      </c>
      <c r="L146" s="1755">
        <v>10</v>
      </c>
    </row>
    <row r="147" spans="1:12" ht="20.100000000000001" customHeight="1">
      <c r="B147" s="1748"/>
      <c r="C147" s="1749"/>
      <c r="D147" s="1749"/>
      <c r="E147" s="1750" t="s">
        <v>1944</v>
      </c>
      <c r="F147" s="1760">
        <v>0.12</v>
      </c>
      <c r="G147" s="1760">
        <v>0.12</v>
      </c>
      <c r="H147" s="1761">
        <v>0.12</v>
      </c>
      <c r="I147" s="1753">
        <f t="shared" si="9"/>
        <v>0.13200000000000001</v>
      </c>
      <c r="J147" s="1760">
        <v>0.12</v>
      </c>
      <c r="K147" s="1751">
        <v>0.12</v>
      </c>
      <c r="L147" s="1755">
        <v>10</v>
      </c>
    </row>
    <row r="148" spans="1:12" ht="20.100000000000001" customHeight="1">
      <c r="B148" s="1748"/>
      <c r="C148" s="1749"/>
      <c r="D148" s="1749"/>
      <c r="E148" s="1750" t="s">
        <v>1945</v>
      </c>
      <c r="F148" s="1760">
        <v>0.11</v>
      </c>
      <c r="G148" s="1760">
        <v>0.1</v>
      </c>
      <c r="H148" s="1761">
        <v>0.13</v>
      </c>
      <c r="I148" s="1753">
        <f t="shared" si="9"/>
        <v>0.14300000000000002</v>
      </c>
      <c r="J148" s="1760">
        <v>0.13</v>
      </c>
      <c r="K148" s="1751">
        <v>0.13</v>
      </c>
      <c r="L148" s="1755">
        <v>10</v>
      </c>
    </row>
    <row r="149" spans="1:12" ht="20.100000000000001" customHeight="1">
      <c r="B149" s="1748"/>
      <c r="C149" s="1749"/>
      <c r="D149" s="1749"/>
      <c r="E149" s="1750" t="s">
        <v>1946</v>
      </c>
      <c r="F149" s="1760">
        <v>0.1</v>
      </c>
      <c r="G149" s="1760">
        <v>0.1</v>
      </c>
      <c r="H149" s="1761">
        <v>0.13</v>
      </c>
      <c r="I149" s="1753">
        <f t="shared" si="9"/>
        <v>0.14300000000000002</v>
      </c>
      <c r="J149" s="1760">
        <v>0.13</v>
      </c>
      <c r="K149" s="1751">
        <v>0.13</v>
      </c>
      <c r="L149" s="1755">
        <v>10</v>
      </c>
    </row>
    <row r="150" spans="1:12" ht="20.100000000000001" customHeight="1">
      <c r="B150" s="1748"/>
      <c r="C150" s="1749"/>
      <c r="D150" s="1749"/>
      <c r="E150" s="1750" t="s">
        <v>1947</v>
      </c>
      <c r="F150" s="1760">
        <v>0.04</v>
      </c>
      <c r="G150" s="1760">
        <v>0.04</v>
      </c>
      <c r="H150" s="1761">
        <v>0.06</v>
      </c>
      <c r="I150" s="1753">
        <f t="shared" si="9"/>
        <v>6.6000000000000003E-2</v>
      </c>
      <c r="J150" s="1760">
        <v>0.06</v>
      </c>
      <c r="K150" s="1751">
        <v>0.06</v>
      </c>
      <c r="L150" s="1755">
        <v>10</v>
      </c>
    </row>
    <row r="151" spans="1:12" ht="20.100000000000001" customHeight="1">
      <c r="B151" s="1748"/>
      <c r="C151" s="1749"/>
      <c r="D151" s="1749"/>
      <c r="E151" s="1750" t="s">
        <v>1948</v>
      </c>
      <c r="F151" s="1760">
        <v>0.06</v>
      </c>
      <c r="G151" s="1760">
        <v>0.06</v>
      </c>
      <c r="H151" s="1761">
        <v>0.08</v>
      </c>
      <c r="I151" s="1753">
        <f t="shared" si="9"/>
        <v>8.7999999999999995E-2</v>
      </c>
      <c r="J151" s="1760">
        <v>0.08</v>
      </c>
      <c r="K151" s="1751">
        <v>0.08</v>
      </c>
      <c r="L151" s="1755">
        <v>10</v>
      </c>
    </row>
    <row r="152" spans="1:12" ht="20.100000000000001" customHeight="1">
      <c r="B152" s="1748"/>
      <c r="C152" s="1749"/>
      <c r="D152" s="1749"/>
      <c r="E152" s="1750" t="s">
        <v>1949</v>
      </c>
      <c r="F152" s="1760">
        <v>0.03</v>
      </c>
      <c r="G152" s="1760">
        <v>0.03</v>
      </c>
      <c r="H152" s="1761">
        <v>0.05</v>
      </c>
      <c r="I152" s="1753">
        <f t="shared" si="9"/>
        <v>5.5000000000000007E-2</v>
      </c>
      <c r="J152" s="1760">
        <v>0.05</v>
      </c>
      <c r="K152" s="1751">
        <v>0.05</v>
      </c>
      <c r="L152" s="1755">
        <v>10</v>
      </c>
    </row>
    <row r="153" spans="1:12" ht="20.100000000000001" customHeight="1">
      <c r="B153" s="1748"/>
      <c r="C153" s="1749"/>
      <c r="D153" s="1749"/>
      <c r="E153" s="1750" t="s">
        <v>1950</v>
      </c>
      <c r="F153" s="1760">
        <v>1.4999999999999999E-2</v>
      </c>
      <c r="G153" s="1760">
        <v>1.4999999999999999E-2</v>
      </c>
      <c r="H153" s="1761">
        <v>2.1000000000000001E-2</v>
      </c>
      <c r="I153" s="1753">
        <f t="shared" si="9"/>
        <v>2.3100000000000002E-2</v>
      </c>
      <c r="J153" s="1760">
        <v>2E-3</v>
      </c>
      <c r="K153" s="1751">
        <v>2E-3</v>
      </c>
      <c r="L153" s="1755">
        <v>10</v>
      </c>
    </row>
    <row r="154" spans="1:12" s="830" customFormat="1" ht="20.100000000000001" customHeight="1">
      <c r="A154" s="831"/>
      <c r="B154" s="1756"/>
      <c r="C154" s="1749"/>
      <c r="D154" s="1749"/>
      <c r="E154" s="1762" t="s">
        <v>1951</v>
      </c>
      <c r="F154" s="1758">
        <v>0</v>
      </c>
      <c r="G154" s="1758">
        <v>0</v>
      </c>
      <c r="H154" s="1758">
        <v>0</v>
      </c>
      <c r="I154" s="1758">
        <v>0</v>
      </c>
      <c r="J154" s="1758">
        <v>0</v>
      </c>
      <c r="K154" s="1758">
        <v>0</v>
      </c>
      <c r="L154" s="1759">
        <v>0</v>
      </c>
    </row>
    <row r="155" spans="1:12" ht="20.100000000000001" customHeight="1">
      <c r="B155" s="1748"/>
      <c r="C155" s="1749"/>
      <c r="D155" s="1749"/>
      <c r="E155" s="1750" t="s">
        <v>1952</v>
      </c>
      <c r="F155" s="1760">
        <v>0.04</v>
      </c>
      <c r="G155" s="1760">
        <v>0.05</v>
      </c>
      <c r="H155" s="1761">
        <v>0.08</v>
      </c>
      <c r="I155" s="1753">
        <f>(H155*L155%)+H155</f>
        <v>8.7999999999999995E-2</v>
      </c>
      <c r="J155" s="1760">
        <v>0.04</v>
      </c>
      <c r="K155" s="1751"/>
      <c r="L155" s="1755">
        <v>10</v>
      </c>
    </row>
    <row r="156" spans="1:12" ht="20.100000000000001" customHeight="1">
      <c r="B156" s="1748"/>
      <c r="C156" s="1749"/>
      <c r="D156" s="1749"/>
      <c r="E156" s="1750" t="s">
        <v>1953</v>
      </c>
      <c r="F156" s="1758">
        <v>0</v>
      </c>
      <c r="G156" s="1758">
        <v>0</v>
      </c>
      <c r="H156" s="1758">
        <v>0</v>
      </c>
      <c r="I156" s="1758">
        <v>0</v>
      </c>
      <c r="J156" s="1758">
        <v>0</v>
      </c>
      <c r="K156" s="1758">
        <v>0</v>
      </c>
      <c r="L156" s="1759">
        <v>0</v>
      </c>
    </row>
    <row r="157" spans="1:12" ht="20.100000000000001" customHeight="1">
      <c r="B157" s="1748"/>
      <c r="C157" s="1749"/>
      <c r="D157" s="1749"/>
      <c r="E157" s="1750" t="s">
        <v>1954</v>
      </c>
      <c r="F157" s="1760">
        <v>3.5000000000000003E-2</v>
      </c>
      <c r="G157" s="1760">
        <v>5.5E-2</v>
      </c>
      <c r="H157" s="1761">
        <v>0.08</v>
      </c>
      <c r="I157" s="1753">
        <f t="shared" ref="I157:I166" si="10">(H157*L157%)+H157</f>
        <v>8.7999999999999995E-2</v>
      </c>
      <c r="J157" s="1760"/>
      <c r="K157" s="1751"/>
      <c r="L157" s="1755">
        <v>10</v>
      </c>
    </row>
    <row r="158" spans="1:12" ht="20.100000000000001" customHeight="1">
      <c r="B158" s="1748"/>
      <c r="C158" s="1749"/>
      <c r="D158" s="1749"/>
      <c r="E158" s="1750" t="s">
        <v>1955</v>
      </c>
      <c r="F158" s="1760">
        <v>0.03</v>
      </c>
      <c r="G158" s="1760">
        <v>0.03</v>
      </c>
      <c r="H158" s="1761">
        <v>0.05</v>
      </c>
      <c r="I158" s="1753">
        <f t="shared" si="10"/>
        <v>5.5000000000000007E-2</v>
      </c>
      <c r="J158" s="1760">
        <v>0.05</v>
      </c>
      <c r="K158" s="1751"/>
      <c r="L158" s="1755">
        <v>10</v>
      </c>
    </row>
    <row r="159" spans="1:12" ht="20.100000000000001" customHeight="1">
      <c r="B159" s="1748"/>
      <c r="C159" s="1749"/>
      <c r="D159" s="1749"/>
      <c r="E159" s="1750" t="s">
        <v>1956</v>
      </c>
      <c r="F159" s="1760">
        <v>0.02</v>
      </c>
      <c r="G159" s="1760">
        <v>0.02</v>
      </c>
      <c r="H159" s="1761">
        <v>0.03</v>
      </c>
      <c r="I159" s="1753">
        <f t="shared" si="10"/>
        <v>3.3000000000000002E-2</v>
      </c>
      <c r="J159" s="1760">
        <v>0.03</v>
      </c>
      <c r="K159" s="1751"/>
      <c r="L159" s="1755">
        <v>10</v>
      </c>
    </row>
    <row r="160" spans="1:12" ht="20.100000000000001" customHeight="1">
      <c r="B160" s="1748"/>
      <c r="C160" s="1749"/>
      <c r="D160" s="1749"/>
      <c r="E160" s="1750" t="s">
        <v>1957</v>
      </c>
      <c r="F160" s="1760">
        <v>0.1</v>
      </c>
      <c r="G160" s="1760">
        <v>0.2</v>
      </c>
      <c r="H160" s="1761">
        <v>0.13</v>
      </c>
      <c r="I160" s="1753">
        <f t="shared" si="10"/>
        <v>0.14300000000000002</v>
      </c>
      <c r="J160" s="1760">
        <v>0.13</v>
      </c>
      <c r="K160" s="1751"/>
      <c r="L160" s="1755">
        <v>10</v>
      </c>
    </row>
    <row r="161" spans="2:12" ht="20.100000000000001" customHeight="1">
      <c r="B161" s="1748"/>
      <c r="C161" s="1749"/>
      <c r="D161" s="1749"/>
      <c r="E161" s="1750" t="s">
        <v>1958</v>
      </c>
      <c r="F161" s="1760">
        <v>0.1</v>
      </c>
      <c r="G161" s="1760">
        <v>0.1</v>
      </c>
      <c r="H161" s="1761">
        <v>0.13</v>
      </c>
      <c r="I161" s="1753">
        <f t="shared" si="10"/>
        <v>0.14300000000000002</v>
      </c>
      <c r="J161" s="1760">
        <v>0.13</v>
      </c>
      <c r="K161" s="1751"/>
      <c r="L161" s="1755">
        <v>10</v>
      </c>
    </row>
    <row r="162" spans="2:12" ht="20.100000000000001" customHeight="1">
      <c r="B162" s="1748"/>
      <c r="C162" s="1749"/>
      <c r="D162" s="1749"/>
      <c r="E162" s="1750" t="s">
        <v>1959</v>
      </c>
      <c r="F162" s="1760">
        <v>0.125</v>
      </c>
      <c r="G162" s="1760">
        <v>0.125</v>
      </c>
      <c r="H162" s="1761">
        <v>0.25</v>
      </c>
      <c r="I162" s="1753">
        <f t="shared" si="10"/>
        <v>0.27500000000000002</v>
      </c>
      <c r="J162" s="1760">
        <v>0.15</v>
      </c>
      <c r="K162" s="1751"/>
      <c r="L162" s="1755">
        <v>10</v>
      </c>
    </row>
    <row r="163" spans="2:12" ht="20.100000000000001" customHeight="1">
      <c r="B163" s="1748"/>
      <c r="C163" s="1749"/>
      <c r="D163" s="1749"/>
      <c r="E163" s="1750" t="s">
        <v>1260</v>
      </c>
      <c r="F163" s="1760">
        <v>0.115</v>
      </c>
      <c r="G163" s="1760">
        <v>0.115</v>
      </c>
      <c r="H163" s="1761">
        <v>0.11</v>
      </c>
      <c r="I163" s="1753">
        <f t="shared" si="10"/>
        <v>0.121</v>
      </c>
      <c r="J163" s="1760">
        <v>0.115</v>
      </c>
      <c r="K163" s="1751"/>
      <c r="L163" s="1755">
        <v>10</v>
      </c>
    </row>
    <row r="164" spans="2:12" ht="20.100000000000001" customHeight="1">
      <c r="B164" s="1748"/>
      <c r="C164" s="1749"/>
      <c r="D164" s="1749"/>
      <c r="E164" s="1750" t="s">
        <v>1960</v>
      </c>
      <c r="F164" s="1760">
        <v>0.11</v>
      </c>
      <c r="G164" s="1760">
        <v>0.11</v>
      </c>
      <c r="H164" s="1761">
        <v>0.11</v>
      </c>
      <c r="I164" s="1753">
        <f t="shared" si="10"/>
        <v>0.121</v>
      </c>
      <c r="J164" s="1760">
        <v>0.1</v>
      </c>
      <c r="K164" s="1751"/>
      <c r="L164" s="1755">
        <v>10</v>
      </c>
    </row>
    <row r="165" spans="2:12" ht="20.100000000000001" customHeight="1">
      <c r="B165" s="1748"/>
      <c r="C165" s="1749"/>
      <c r="D165" s="1749"/>
      <c r="E165" s="1750" t="s">
        <v>1961</v>
      </c>
      <c r="F165" s="1760">
        <v>0.02</v>
      </c>
      <c r="G165" s="1760">
        <v>0.03</v>
      </c>
      <c r="H165" s="1761">
        <v>3.5000000000000003E-2</v>
      </c>
      <c r="I165" s="1753">
        <f t="shared" si="10"/>
        <v>3.8500000000000006E-2</v>
      </c>
      <c r="J165" s="1760">
        <v>0.04</v>
      </c>
      <c r="K165" s="1751"/>
      <c r="L165" s="1755">
        <v>10</v>
      </c>
    </row>
    <row r="166" spans="2:12" ht="20.100000000000001" customHeight="1">
      <c r="B166" s="1748"/>
      <c r="C166" s="1749"/>
      <c r="D166" s="1749"/>
      <c r="E166" s="1750" t="s">
        <v>1940</v>
      </c>
      <c r="F166" s="1760">
        <v>0.06</v>
      </c>
      <c r="G166" s="1760">
        <v>0.06</v>
      </c>
      <c r="H166" s="1761">
        <v>0.12</v>
      </c>
      <c r="I166" s="1753">
        <f t="shared" si="10"/>
        <v>0.13200000000000001</v>
      </c>
      <c r="J166" s="1760">
        <v>0.12</v>
      </c>
      <c r="K166" s="1751"/>
      <c r="L166" s="1755">
        <v>10</v>
      </c>
    </row>
    <row r="167" spans="2:12" ht="16.5" customHeight="1">
      <c r="B167" s="1763"/>
      <c r="C167" s="1763"/>
      <c r="D167" s="1763"/>
      <c r="E167" s="1764"/>
      <c r="F167" s="1765"/>
      <c r="G167" s="1765"/>
      <c r="H167" s="1765"/>
      <c r="I167" s="1766"/>
      <c r="J167" s="1765"/>
      <c r="K167" s="1765"/>
      <c r="L167" s="1767"/>
    </row>
  </sheetData>
  <mergeCells count="2">
    <mergeCell ref="D2:I2"/>
    <mergeCell ref="B6:E6"/>
  </mergeCells>
  <printOptions horizontalCentered="1"/>
  <pageMargins left="0.19685039370078741" right="0.19685039370078741" top="0.19685039370078741" bottom="0.19685039370078741" header="0.11811023622047245" footer="0.11811023622047245"/>
  <pageSetup paperSize="9" scale="73" orientation="portrait" r:id="rId1"/>
  <headerFooter alignWithMargins="0"/>
  <rowBreaks count="2" manualBreakCount="2">
    <brk id="74" max="18" man="1"/>
    <brk id="153"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AB170"/>
  <sheetViews>
    <sheetView workbookViewId="0">
      <selection activeCell="B1" sqref="B1:Z2"/>
    </sheetView>
  </sheetViews>
  <sheetFormatPr baseColWidth="10" defaultRowHeight="12.75"/>
  <cols>
    <col min="1" max="1" width="1.85546875" style="907" customWidth="1"/>
    <col min="2" max="2" width="12.7109375" style="907" customWidth="1"/>
    <col min="3" max="3" width="3.28515625" style="907" customWidth="1"/>
    <col min="4" max="5" width="12.7109375" style="907" customWidth="1"/>
    <col min="6" max="6" width="3.28515625" style="907" customWidth="1"/>
    <col min="7" max="8" width="12.7109375" style="907" customWidth="1"/>
    <col min="9" max="9" width="3.28515625" style="907" customWidth="1"/>
    <col min="10" max="10" width="19.28515625" style="907" customWidth="1"/>
    <col min="11" max="11" width="12.7109375" style="907" customWidth="1"/>
    <col min="12" max="12" width="3.28515625" style="907" customWidth="1"/>
    <col min="13" max="13" width="21" style="907" customWidth="1"/>
    <col min="14" max="14" width="3" style="907" customWidth="1"/>
    <col min="15" max="15" width="12.7109375" style="907" customWidth="1"/>
    <col min="16" max="16" width="3.28515625" style="907" customWidth="1"/>
    <col min="17" max="17" width="13.5703125" style="907" customWidth="1"/>
    <col min="18" max="18" width="12.7109375" style="907" customWidth="1"/>
    <col min="19" max="19" width="3.28515625" style="907" customWidth="1"/>
    <col min="20" max="20" width="13.42578125" style="907" customWidth="1"/>
    <col min="21" max="21" width="12.7109375" style="907" customWidth="1"/>
    <col min="22" max="22" width="3.28515625" style="907" customWidth="1"/>
    <col min="23" max="23" width="19.7109375" style="907" customWidth="1"/>
    <col min="24" max="24" width="11.42578125" style="907" customWidth="1"/>
    <col min="25" max="25" width="3.28515625" style="907" customWidth="1"/>
    <col min="26" max="26" width="21.7109375" style="907" customWidth="1"/>
    <col min="27" max="27" width="3" style="907" customWidth="1"/>
    <col min="28" max="28" width="11.42578125" style="907"/>
    <col min="29" max="16384" width="11.42578125" style="755"/>
  </cols>
  <sheetData>
    <row r="1" spans="1:28" ht="27" customHeight="1">
      <c r="A1" s="906">
        <v>0</v>
      </c>
      <c r="B1" s="3372" t="s">
        <v>1444</v>
      </c>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B1" s="906"/>
    </row>
    <row r="2" spans="1:28" ht="27" customHeight="1">
      <c r="A2" s="906"/>
      <c r="B2" s="3373"/>
      <c r="C2" s="3373"/>
      <c r="D2" s="3373"/>
      <c r="E2" s="3373"/>
      <c r="F2" s="3373"/>
      <c r="G2" s="3373"/>
      <c r="H2" s="3373"/>
      <c r="I2" s="3373"/>
      <c r="J2" s="3373"/>
      <c r="K2" s="3373"/>
      <c r="L2" s="3373"/>
      <c r="M2" s="3373"/>
      <c r="N2" s="3373"/>
      <c r="O2" s="3373"/>
      <c r="P2" s="3373"/>
      <c r="Q2" s="3373"/>
      <c r="R2" s="3373"/>
      <c r="S2" s="3373"/>
      <c r="T2" s="3373"/>
      <c r="U2" s="3373"/>
      <c r="V2" s="3373"/>
      <c r="W2" s="3373"/>
      <c r="X2" s="3373"/>
      <c r="Y2" s="3373"/>
      <c r="Z2" s="3373"/>
      <c r="AB2" s="906"/>
    </row>
    <row r="3" spans="1:28">
      <c r="B3" s="908" t="str">
        <f ca="1">CELL("nomfichier")</f>
        <v>F:\Bureau\pour UPRT 5 decembre\[re-boudins-blancs.xlsx]CONTENU</v>
      </c>
      <c r="C3" s="908"/>
      <c r="D3" s="908"/>
      <c r="E3" s="908"/>
      <c r="F3" s="908"/>
      <c r="G3" s="908"/>
      <c r="H3" s="908"/>
      <c r="I3" s="908"/>
      <c r="J3" s="908"/>
      <c r="K3" s="908"/>
      <c r="L3" s="908"/>
      <c r="M3" s="908"/>
      <c r="N3" s="908"/>
      <c r="O3" s="908"/>
      <c r="P3" s="908"/>
      <c r="Q3" s="908"/>
      <c r="R3" s="908"/>
      <c r="S3" s="908"/>
      <c r="T3" s="908"/>
      <c r="U3" s="908"/>
      <c r="V3" s="908"/>
      <c r="W3" s="908"/>
      <c r="X3" s="908"/>
      <c r="Y3" s="908"/>
      <c r="Z3" s="908"/>
    </row>
    <row r="4" spans="1:28" ht="30">
      <c r="B4" s="909" t="s">
        <v>1445</v>
      </c>
      <c r="C4" s="910"/>
      <c r="D4" s="911" t="s">
        <v>1446</v>
      </c>
      <c r="E4" s="912" t="s">
        <v>1447</v>
      </c>
      <c r="F4" s="913"/>
      <c r="G4" s="913"/>
      <c r="H4" s="913"/>
      <c r="I4" s="913"/>
      <c r="J4" s="913"/>
      <c r="K4" s="913"/>
      <c r="L4" s="913"/>
      <c r="M4" s="914"/>
      <c r="O4" s="909" t="s">
        <v>1445</v>
      </c>
      <c r="P4" s="910"/>
      <c r="Q4" s="911" t="s">
        <v>1446</v>
      </c>
      <c r="R4" s="915" t="s">
        <v>1448</v>
      </c>
      <c r="S4" s="916"/>
      <c r="T4" s="916"/>
      <c r="U4" s="916"/>
      <c r="V4" s="916"/>
      <c r="W4" s="916"/>
      <c r="X4" s="916"/>
      <c r="Y4" s="916"/>
      <c r="Z4" s="917"/>
    </row>
    <row r="5" spans="1:28" ht="30">
      <c r="B5" s="918">
        <v>45</v>
      </c>
      <c r="C5" s="919" t="s">
        <v>1449</v>
      </c>
      <c r="D5" s="920">
        <f>B5</f>
        <v>45</v>
      </c>
      <c r="E5" s="921" t="s">
        <v>1556</v>
      </c>
      <c r="F5" s="921"/>
      <c r="G5" s="922"/>
      <c r="H5" s="922"/>
      <c r="I5" s="922"/>
      <c r="J5" s="922"/>
      <c r="K5" s="922"/>
      <c r="L5" s="922"/>
      <c r="M5" s="923"/>
      <c r="O5" s="918" t="s">
        <v>1451</v>
      </c>
      <c r="P5" s="919" t="s">
        <v>1449</v>
      </c>
      <c r="Q5" s="924" t="str">
        <f>O5</f>
        <v>Aa</v>
      </c>
      <c r="R5" s="925" t="s">
        <v>1556</v>
      </c>
      <c r="S5" s="925"/>
      <c r="T5" s="925"/>
      <c r="U5" s="925"/>
      <c r="V5" s="925"/>
      <c r="W5" s="925"/>
      <c r="X5" s="925"/>
      <c r="Y5" s="925"/>
      <c r="Z5" s="926"/>
    </row>
    <row r="6" spans="1:28">
      <c r="B6" s="927"/>
      <c r="C6" s="928"/>
      <c r="D6" s="928"/>
      <c r="E6" s="928"/>
      <c r="F6" s="928"/>
      <c r="G6" s="928"/>
      <c r="H6" s="928"/>
      <c r="I6" s="928"/>
      <c r="J6" s="928"/>
      <c r="K6" s="928"/>
      <c r="L6" s="928"/>
      <c r="M6" s="929"/>
      <c r="O6" s="927"/>
      <c r="P6" s="928"/>
      <c r="Q6" s="928"/>
      <c r="R6" s="928"/>
      <c r="S6" s="928"/>
      <c r="T6" s="928"/>
      <c r="U6" s="928"/>
      <c r="V6" s="928"/>
      <c r="W6" s="928"/>
      <c r="X6" s="928"/>
      <c r="Y6" s="928"/>
      <c r="Z6" s="929"/>
    </row>
    <row r="7" spans="1:28">
      <c r="B7" s="930" t="s">
        <v>1452</v>
      </c>
      <c r="C7" s="3366" t="s">
        <v>1453</v>
      </c>
      <c r="D7" s="3367"/>
      <c r="E7" s="931" t="s">
        <v>1454</v>
      </c>
      <c r="F7" s="3366" t="s">
        <v>1453</v>
      </c>
      <c r="G7" s="3367"/>
      <c r="H7" s="931" t="s">
        <v>1455</v>
      </c>
      <c r="I7" s="3366" t="s">
        <v>1453</v>
      </c>
      <c r="J7" s="3367"/>
      <c r="K7" s="931" t="s">
        <v>1456</v>
      </c>
      <c r="L7" s="3366" t="s">
        <v>1453</v>
      </c>
      <c r="M7" s="3368"/>
      <c r="O7" s="930" t="s">
        <v>1452</v>
      </c>
      <c r="P7" s="3357" t="s">
        <v>1453</v>
      </c>
      <c r="Q7" s="3358"/>
      <c r="R7" s="931" t="s">
        <v>1454</v>
      </c>
      <c r="S7" s="3357" t="s">
        <v>1453</v>
      </c>
      <c r="T7" s="3358"/>
      <c r="U7" s="931" t="s">
        <v>1455</v>
      </c>
      <c r="V7" s="3357" t="s">
        <v>1453</v>
      </c>
      <c r="W7" s="3358"/>
      <c r="X7" s="931" t="s">
        <v>1456</v>
      </c>
      <c r="Y7" s="3357" t="s">
        <v>1453</v>
      </c>
      <c r="Z7" s="3359"/>
    </row>
    <row r="8" spans="1:28" ht="44.25">
      <c r="A8" s="829"/>
      <c r="B8" s="932" t="s">
        <v>351</v>
      </c>
      <c r="C8" s="933" t="s">
        <v>1449</v>
      </c>
      <c r="D8" s="934" t="s">
        <v>351</v>
      </c>
      <c r="E8" s="935" t="s">
        <v>1457</v>
      </c>
      <c r="F8" s="933" t="s">
        <v>1449</v>
      </c>
      <c r="G8" s="936" t="s">
        <v>1457</v>
      </c>
      <c r="H8" s="937">
        <v>1</v>
      </c>
      <c r="I8" s="933" t="s">
        <v>1449</v>
      </c>
      <c r="J8" s="934">
        <v>1</v>
      </c>
      <c r="K8" s="937">
        <v>27</v>
      </c>
      <c r="L8" s="933" t="s">
        <v>1449</v>
      </c>
      <c r="M8" s="938">
        <v>27</v>
      </c>
      <c r="N8" s="829"/>
      <c r="O8" s="932" t="s">
        <v>351</v>
      </c>
      <c r="P8" s="933" t="s">
        <v>1449</v>
      </c>
      <c r="Q8" s="939" t="s">
        <v>351</v>
      </c>
      <c r="R8" s="935" t="s">
        <v>1457</v>
      </c>
      <c r="S8" s="933" t="s">
        <v>1449</v>
      </c>
      <c r="T8" s="940" t="s">
        <v>1457</v>
      </c>
      <c r="U8" s="937">
        <v>1</v>
      </c>
      <c r="V8" s="933" t="s">
        <v>1449</v>
      </c>
      <c r="W8" s="939">
        <v>1</v>
      </c>
      <c r="X8" s="937">
        <v>27</v>
      </c>
      <c r="Y8" s="933" t="s">
        <v>1449</v>
      </c>
      <c r="Z8" s="941">
        <v>27</v>
      </c>
      <c r="AA8" s="829"/>
      <c r="AB8" s="829"/>
    </row>
    <row r="9" spans="1:28" ht="44.25" customHeight="1">
      <c r="A9" s="829"/>
      <c r="B9" s="932" t="s">
        <v>353</v>
      </c>
      <c r="C9" s="933" t="s">
        <v>1449</v>
      </c>
      <c r="D9" s="934" t="s">
        <v>353</v>
      </c>
      <c r="E9" s="935" t="s">
        <v>1460</v>
      </c>
      <c r="F9" s="933" t="s">
        <v>1449</v>
      </c>
      <c r="G9" s="936" t="s">
        <v>1460</v>
      </c>
      <c r="H9" s="937">
        <v>2</v>
      </c>
      <c r="I9" s="933" t="s">
        <v>1449</v>
      </c>
      <c r="J9" s="934">
        <v>2</v>
      </c>
      <c r="K9" s="937">
        <v>28</v>
      </c>
      <c r="L9" s="933" t="s">
        <v>1449</v>
      </c>
      <c r="M9" s="938">
        <v>28</v>
      </c>
      <c r="N9" s="829"/>
      <c r="O9" s="932" t="s">
        <v>353</v>
      </c>
      <c r="P9" s="933" t="s">
        <v>1449</v>
      </c>
      <c r="Q9" s="939" t="s">
        <v>353</v>
      </c>
      <c r="R9" s="935" t="s">
        <v>1460</v>
      </c>
      <c r="S9" s="933" t="s">
        <v>1449</v>
      </c>
      <c r="T9" s="940" t="s">
        <v>1460</v>
      </c>
      <c r="U9" s="937">
        <v>2</v>
      </c>
      <c r="V9" s="933" t="s">
        <v>1449</v>
      </c>
      <c r="W9" s="939">
        <v>2</v>
      </c>
      <c r="X9" s="937">
        <v>28</v>
      </c>
      <c r="Y9" s="933" t="s">
        <v>1449</v>
      </c>
      <c r="Z9" s="941">
        <v>28</v>
      </c>
      <c r="AA9" s="829"/>
      <c r="AB9" s="829"/>
    </row>
    <row r="10" spans="1:28" ht="44.25">
      <c r="A10" s="829"/>
      <c r="B10" s="932" t="s">
        <v>352</v>
      </c>
      <c r="C10" s="933" t="s">
        <v>1449</v>
      </c>
      <c r="D10" s="934" t="s">
        <v>352</v>
      </c>
      <c r="E10" s="935" t="s">
        <v>1464</v>
      </c>
      <c r="F10" s="933" t="s">
        <v>1449</v>
      </c>
      <c r="G10" s="936" t="s">
        <v>1464</v>
      </c>
      <c r="H10" s="937">
        <v>3</v>
      </c>
      <c r="I10" s="933" t="s">
        <v>1449</v>
      </c>
      <c r="J10" s="934">
        <v>3</v>
      </c>
      <c r="K10" s="937">
        <v>29</v>
      </c>
      <c r="L10" s="933" t="s">
        <v>1449</v>
      </c>
      <c r="M10" s="938">
        <v>29</v>
      </c>
      <c r="N10" s="829"/>
      <c r="O10" s="932" t="s">
        <v>352</v>
      </c>
      <c r="P10" s="933" t="s">
        <v>1449</v>
      </c>
      <c r="Q10" s="939" t="s">
        <v>352</v>
      </c>
      <c r="R10" s="935" t="s">
        <v>1464</v>
      </c>
      <c r="S10" s="933" t="s">
        <v>1449</v>
      </c>
      <c r="T10" s="940" t="s">
        <v>1464</v>
      </c>
      <c r="U10" s="937">
        <v>3</v>
      </c>
      <c r="V10" s="933" t="s">
        <v>1449</v>
      </c>
      <c r="W10" s="939">
        <v>3</v>
      </c>
      <c r="X10" s="937">
        <v>29</v>
      </c>
      <c r="Y10" s="933" t="s">
        <v>1449</v>
      </c>
      <c r="Z10" s="941">
        <v>29</v>
      </c>
      <c r="AA10" s="829"/>
      <c r="AB10" s="829"/>
    </row>
    <row r="11" spans="1:28" ht="44.25">
      <c r="A11" s="829"/>
      <c r="B11" s="932" t="s">
        <v>356</v>
      </c>
      <c r="C11" s="933" t="s">
        <v>1449</v>
      </c>
      <c r="D11" s="934" t="s">
        <v>356</v>
      </c>
      <c r="E11" s="935" t="s">
        <v>1467</v>
      </c>
      <c r="F11" s="933" t="s">
        <v>1449</v>
      </c>
      <c r="G11" s="936" t="s">
        <v>1467</v>
      </c>
      <c r="H11" s="937">
        <v>4</v>
      </c>
      <c r="I11" s="933" t="s">
        <v>1449</v>
      </c>
      <c r="J11" s="934">
        <v>4</v>
      </c>
      <c r="K11" s="937">
        <v>30</v>
      </c>
      <c r="L11" s="933" t="s">
        <v>1449</v>
      </c>
      <c r="M11" s="938">
        <v>30</v>
      </c>
      <c r="N11" s="829"/>
      <c r="O11" s="932" t="s">
        <v>356</v>
      </c>
      <c r="P11" s="933" t="s">
        <v>1449</v>
      </c>
      <c r="Q11" s="939" t="s">
        <v>356</v>
      </c>
      <c r="R11" s="935" t="s">
        <v>1467</v>
      </c>
      <c r="S11" s="933" t="s">
        <v>1449</v>
      </c>
      <c r="T11" s="940" t="s">
        <v>1467</v>
      </c>
      <c r="U11" s="937">
        <v>4</v>
      </c>
      <c r="V11" s="933" t="s">
        <v>1449</v>
      </c>
      <c r="W11" s="939">
        <v>4</v>
      </c>
      <c r="X11" s="937">
        <v>30</v>
      </c>
      <c r="Y11" s="933" t="s">
        <v>1449</v>
      </c>
      <c r="Z11" s="941">
        <v>30</v>
      </c>
      <c r="AA11" s="829"/>
      <c r="AB11" s="829"/>
    </row>
    <row r="12" spans="1:28" ht="44.25">
      <c r="A12" s="829"/>
      <c r="B12" s="932" t="s">
        <v>961</v>
      </c>
      <c r="C12" s="933" t="s">
        <v>1449</v>
      </c>
      <c r="D12" s="934" t="s">
        <v>961</v>
      </c>
      <c r="E12" s="935" t="s">
        <v>1470</v>
      </c>
      <c r="F12" s="933" t="s">
        <v>1449</v>
      </c>
      <c r="G12" s="936" t="s">
        <v>1470</v>
      </c>
      <c r="H12" s="937">
        <v>5</v>
      </c>
      <c r="I12" s="933" t="s">
        <v>1449</v>
      </c>
      <c r="J12" s="934">
        <v>5</v>
      </c>
      <c r="K12" s="937">
        <v>31</v>
      </c>
      <c r="L12" s="933" t="s">
        <v>1449</v>
      </c>
      <c r="M12" s="938">
        <v>31</v>
      </c>
      <c r="N12" s="829"/>
      <c r="O12" s="932" t="s">
        <v>961</v>
      </c>
      <c r="P12" s="933" t="s">
        <v>1449</v>
      </c>
      <c r="Q12" s="939" t="s">
        <v>961</v>
      </c>
      <c r="R12" s="935" t="s">
        <v>1470</v>
      </c>
      <c r="S12" s="933" t="s">
        <v>1449</v>
      </c>
      <c r="T12" s="940" t="s">
        <v>1470</v>
      </c>
      <c r="U12" s="937">
        <v>5</v>
      </c>
      <c r="V12" s="933" t="s">
        <v>1449</v>
      </c>
      <c r="W12" s="939">
        <v>5</v>
      </c>
      <c r="X12" s="937">
        <v>31</v>
      </c>
      <c r="Y12" s="933" t="s">
        <v>1449</v>
      </c>
      <c r="Z12" s="941">
        <v>31</v>
      </c>
      <c r="AA12" s="829"/>
      <c r="AB12" s="829"/>
    </row>
    <row r="13" spans="1:28" ht="44.25">
      <c r="A13" s="829"/>
      <c r="B13" s="932" t="s">
        <v>357</v>
      </c>
      <c r="C13" s="933" t="s">
        <v>1449</v>
      </c>
      <c r="D13" s="934" t="s">
        <v>357</v>
      </c>
      <c r="E13" s="935" t="s">
        <v>1478</v>
      </c>
      <c r="F13" s="933" t="s">
        <v>1449</v>
      </c>
      <c r="G13" s="936" t="s">
        <v>1478</v>
      </c>
      <c r="H13" s="937">
        <v>6</v>
      </c>
      <c r="I13" s="933" t="s">
        <v>1449</v>
      </c>
      <c r="J13" s="934">
        <v>6</v>
      </c>
      <c r="K13" s="937">
        <v>32</v>
      </c>
      <c r="L13" s="933" t="s">
        <v>1449</v>
      </c>
      <c r="M13" s="938">
        <v>32</v>
      </c>
      <c r="N13" s="829"/>
      <c r="O13" s="932" t="s">
        <v>357</v>
      </c>
      <c r="P13" s="933" t="s">
        <v>1449</v>
      </c>
      <c r="Q13" s="939" t="s">
        <v>357</v>
      </c>
      <c r="R13" s="935" t="s">
        <v>1478</v>
      </c>
      <c r="S13" s="933" t="s">
        <v>1449</v>
      </c>
      <c r="T13" s="940" t="s">
        <v>1478</v>
      </c>
      <c r="U13" s="937">
        <v>6</v>
      </c>
      <c r="V13" s="933" t="s">
        <v>1449</v>
      </c>
      <c r="W13" s="939">
        <v>6</v>
      </c>
      <c r="X13" s="937">
        <v>32</v>
      </c>
      <c r="Y13" s="933" t="s">
        <v>1449</v>
      </c>
      <c r="Z13" s="941">
        <v>32</v>
      </c>
      <c r="AA13" s="829"/>
      <c r="AB13" s="829"/>
    </row>
    <row r="14" spans="1:28" ht="44.25" customHeight="1">
      <c r="A14" s="829"/>
      <c r="B14" s="932" t="s">
        <v>825</v>
      </c>
      <c r="C14" s="933" t="s">
        <v>1449</v>
      </c>
      <c r="D14" s="934" t="s">
        <v>825</v>
      </c>
      <c r="E14" s="935" t="s">
        <v>1482</v>
      </c>
      <c r="F14" s="933" t="s">
        <v>1449</v>
      </c>
      <c r="G14" s="936" t="s">
        <v>1482</v>
      </c>
      <c r="H14" s="937">
        <v>7</v>
      </c>
      <c r="I14" s="933" t="s">
        <v>1449</v>
      </c>
      <c r="J14" s="934">
        <v>7</v>
      </c>
      <c r="K14" s="937">
        <v>33</v>
      </c>
      <c r="L14" s="933" t="s">
        <v>1449</v>
      </c>
      <c r="M14" s="938">
        <v>33</v>
      </c>
      <c r="N14" s="829"/>
      <c r="O14" s="932" t="s">
        <v>825</v>
      </c>
      <c r="P14" s="933" t="s">
        <v>1449</v>
      </c>
      <c r="Q14" s="939" t="s">
        <v>825</v>
      </c>
      <c r="R14" s="935" t="s">
        <v>1482</v>
      </c>
      <c r="S14" s="933" t="s">
        <v>1449</v>
      </c>
      <c r="T14" s="940" t="s">
        <v>1482</v>
      </c>
      <c r="U14" s="937">
        <v>7</v>
      </c>
      <c r="V14" s="933" t="s">
        <v>1449</v>
      </c>
      <c r="W14" s="939">
        <v>7</v>
      </c>
      <c r="X14" s="937">
        <v>33</v>
      </c>
      <c r="Y14" s="933" t="s">
        <v>1449</v>
      </c>
      <c r="Z14" s="941">
        <v>33</v>
      </c>
      <c r="AA14" s="829"/>
      <c r="AB14" s="829"/>
    </row>
    <row r="15" spans="1:28" ht="44.25">
      <c r="A15" s="829"/>
      <c r="B15" s="932" t="s">
        <v>1485</v>
      </c>
      <c r="C15" s="933" t="s">
        <v>1449</v>
      </c>
      <c r="D15" s="934" t="s">
        <v>1485</v>
      </c>
      <c r="E15" s="935" t="s">
        <v>1486</v>
      </c>
      <c r="F15" s="933" t="s">
        <v>1449</v>
      </c>
      <c r="G15" s="936" t="s">
        <v>1486</v>
      </c>
      <c r="H15" s="937">
        <v>8</v>
      </c>
      <c r="I15" s="933" t="s">
        <v>1449</v>
      </c>
      <c r="J15" s="934">
        <v>8</v>
      </c>
      <c r="K15" s="937">
        <v>34</v>
      </c>
      <c r="L15" s="933" t="s">
        <v>1449</v>
      </c>
      <c r="M15" s="938">
        <v>34</v>
      </c>
      <c r="N15" s="829"/>
      <c r="O15" s="932" t="s">
        <v>1485</v>
      </c>
      <c r="P15" s="933" t="s">
        <v>1449</v>
      </c>
      <c r="Q15" s="939" t="s">
        <v>1485</v>
      </c>
      <c r="R15" s="935" t="s">
        <v>1486</v>
      </c>
      <c r="S15" s="933" t="s">
        <v>1449</v>
      </c>
      <c r="T15" s="940" t="s">
        <v>1486</v>
      </c>
      <c r="U15" s="937">
        <v>8</v>
      </c>
      <c r="V15" s="933" t="s">
        <v>1449</v>
      </c>
      <c r="W15" s="939">
        <v>8</v>
      </c>
      <c r="X15" s="937">
        <v>34</v>
      </c>
      <c r="Y15" s="933" t="s">
        <v>1449</v>
      </c>
      <c r="Z15" s="941">
        <v>34</v>
      </c>
      <c r="AA15" s="829"/>
      <c r="AB15" s="829"/>
    </row>
    <row r="16" spans="1:28" ht="44.25">
      <c r="A16" s="829"/>
      <c r="B16" s="932" t="s">
        <v>360</v>
      </c>
      <c r="C16" s="933" t="s">
        <v>1449</v>
      </c>
      <c r="D16" s="934" t="s">
        <v>360</v>
      </c>
      <c r="E16" s="935" t="s">
        <v>1489</v>
      </c>
      <c r="F16" s="933" t="s">
        <v>1449</v>
      </c>
      <c r="G16" s="936" t="s">
        <v>1489</v>
      </c>
      <c r="H16" s="937">
        <v>9</v>
      </c>
      <c r="I16" s="933" t="s">
        <v>1449</v>
      </c>
      <c r="J16" s="934">
        <v>9</v>
      </c>
      <c r="K16" s="937">
        <v>35</v>
      </c>
      <c r="L16" s="933" t="s">
        <v>1449</v>
      </c>
      <c r="M16" s="938">
        <v>35</v>
      </c>
      <c r="N16" s="829"/>
      <c r="O16" s="932" t="s">
        <v>360</v>
      </c>
      <c r="P16" s="933" t="s">
        <v>1449</v>
      </c>
      <c r="Q16" s="939" t="s">
        <v>360</v>
      </c>
      <c r="R16" s="935" t="s">
        <v>1489</v>
      </c>
      <c r="S16" s="933" t="s">
        <v>1449</v>
      </c>
      <c r="T16" s="940" t="s">
        <v>1489</v>
      </c>
      <c r="U16" s="937">
        <v>9</v>
      </c>
      <c r="V16" s="933" t="s">
        <v>1449</v>
      </c>
      <c r="W16" s="939">
        <v>9</v>
      </c>
      <c r="X16" s="937">
        <v>35</v>
      </c>
      <c r="Y16" s="933" t="s">
        <v>1449</v>
      </c>
      <c r="Z16" s="941">
        <v>35</v>
      </c>
      <c r="AA16" s="829"/>
      <c r="AB16" s="829"/>
    </row>
    <row r="17" spans="1:28" ht="44.25">
      <c r="A17" s="829"/>
      <c r="B17" s="932" t="s">
        <v>363</v>
      </c>
      <c r="C17" s="933" t="s">
        <v>1449</v>
      </c>
      <c r="D17" s="934" t="s">
        <v>363</v>
      </c>
      <c r="E17" s="935" t="s">
        <v>1491</v>
      </c>
      <c r="F17" s="933" t="s">
        <v>1449</v>
      </c>
      <c r="G17" s="936" t="s">
        <v>1491</v>
      </c>
      <c r="H17" s="937">
        <v>10</v>
      </c>
      <c r="I17" s="933" t="s">
        <v>1449</v>
      </c>
      <c r="J17" s="934">
        <v>10</v>
      </c>
      <c r="K17" s="937">
        <v>36</v>
      </c>
      <c r="L17" s="933" t="s">
        <v>1449</v>
      </c>
      <c r="M17" s="938">
        <v>36</v>
      </c>
      <c r="N17" s="829"/>
      <c r="O17" s="932" t="s">
        <v>363</v>
      </c>
      <c r="P17" s="933" t="s">
        <v>1449</v>
      </c>
      <c r="Q17" s="939" t="s">
        <v>363</v>
      </c>
      <c r="R17" s="935" t="s">
        <v>1491</v>
      </c>
      <c r="S17" s="933" t="s">
        <v>1449</v>
      </c>
      <c r="T17" s="940" t="s">
        <v>1491</v>
      </c>
      <c r="U17" s="937">
        <v>10</v>
      </c>
      <c r="V17" s="933" t="s">
        <v>1449</v>
      </c>
      <c r="W17" s="939">
        <v>10</v>
      </c>
      <c r="X17" s="937">
        <v>36</v>
      </c>
      <c r="Y17" s="933" t="s">
        <v>1449</v>
      </c>
      <c r="Z17" s="941">
        <v>36</v>
      </c>
      <c r="AA17" s="829"/>
      <c r="AB17" s="829"/>
    </row>
    <row r="18" spans="1:28" ht="44.25">
      <c r="A18" s="829"/>
      <c r="B18" s="932" t="s">
        <v>365</v>
      </c>
      <c r="C18" s="933" t="s">
        <v>1449</v>
      </c>
      <c r="D18" s="934" t="s">
        <v>365</v>
      </c>
      <c r="E18" s="935" t="s">
        <v>1492</v>
      </c>
      <c r="F18" s="933" t="s">
        <v>1449</v>
      </c>
      <c r="G18" s="936" t="s">
        <v>1492</v>
      </c>
      <c r="H18" s="937">
        <v>11</v>
      </c>
      <c r="I18" s="933" t="s">
        <v>1449</v>
      </c>
      <c r="J18" s="934">
        <v>11</v>
      </c>
      <c r="K18" s="937">
        <v>37</v>
      </c>
      <c r="L18" s="933" t="s">
        <v>1449</v>
      </c>
      <c r="M18" s="938">
        <v>37</v>
      </c>
      <c r="N18" s="829"/>
      <c r="O18" s="932" t="s">
        <v>365</v>
      </c>
      <c r="P18" s="933" t="s">
        <v>1449</v>
      </c>
      <c r="Q18" s="939" t="s">
        <v>365</v>
      </c>
      <c r="R18" s="935" t="s">
        <v>1492</v>
      </c>
      <c r="S18" s="933" t="s">
        <v>1449</v>
      </c>
      <c r="T18" s="940" t="s">
        <v>1492</v>
      </c>
      <c r="U18" s="937">
        <v>11</v>
      </c>
      <c r="V18" s="933" t="s">
        <v>1449</v>
      </c>
      <c r="W18" s="939">
        <v>11</v>
      </c>
      <c r="X18" s="937">
        <v>37</v>
      </c>
      <c r="Y18" s="933" t="s">
        <v>1449</v>
      </c>
      <c r="Z18" s="941">
        <v>37</v>
      </c>
      <c r="AA18" s="829"/>
      <c r="AB18" s="829"/>
    </row>
    <row r="19" spans="1:28" ht="44.25">
      <c r="A19" s="829"/>
      <c r="B19" s="932" t="s">
        <v>36</v>
      </c>
      <c r="C19" s="933" t="s">
        <v>1449</v>
      </c>
      <c r="D19" s="934" t="s">
        <v>36</v>
      </c>
      <c r="E19" s="935" t="s">
        <v>1493</v>
      </c>
      <c r="F19" s="933" t="s">
        <v>1449</v>
      </c>
      <c r="G19" s="936" t="s">
        <v>1493</v>
      </c>
      <c r="H19" s="937">
        <v>12</v>
      </c>
      <c r="I19" s="933" t="s">
        <v>1449</v>
      </c>
      <c r="J19" s="963">
        <v>12</v>
      </c>
      <c r="K19" s="937">
        <v>38</v>
      </c>
      <c r="L19" s="933" t="s">
        <v>1449</v>
      </c>
      <c r="M19" s="938">
        <v>38</v>
      </c>
      <c r="N19" s="829"/>
      <c r="O19" s="932" t="s">
        <v>36</v>
      </c>
      <c r="P19" s="933" t="s">
        <v>1449</v>
      </c>
      <c r="Q19" s="939" t="s">
        <v>36</v>
      </c>
      <c r="R19" s="935" t="s">
        <v>1493</v>
      </c>
      <c r="S19" s="933" t="s">
        <v>1449</v>
      </c>
      <c r="T19" s="940" t="s">
        <v>1493</v>
      </c>
      <c r="U19" s="937">
        <v>12</v>
      </c>
      <c r="V19" s="933" t="s">
        <v>1449</v>
      </c>
      <c r="W19" s="939">
        <v>12</v>
      </c>
      <c r="X19" s="937">
        <v>38</v>
      </c>
      <c r="Y19" s="933" t="s">
        <v>1449</v>
      </c>
      <c r="Z19" s="941">
        <v>38</v>
      </c>
      <c r="AA19" s="829"/>
      <c r="AB19" s="829"/>
    </row>
    <row r="20" spans="1:28" ht="44.25">
      <c r="A20" s="829"/>
      <c r="B20" s="932" t="s">
        <v>847</v>
      </c>
      <c r="C20" s="933" t="s">
        <v>1449</v>
      </c>
      <c r="D20" s="934" t="s">
        <v>847</v>
      </c>
      <c r="E20" s="935" t="s">
        <v>1495</v>
      </c>
      <c r="F20" s="933" t="s">
        <v>1449</v>
      </c>
      <c r="G20" s="936" t="s">
        <v>1495</v>
      </c>
      <c r="H20" s="937">
        <v>13</v>
      </c>
      <c r="I20" s="933" t="s">
        <v>1449</v>
      </c>
      <c r="J20" s="963">
        <v>13</v>
      </c>
      <c r="K20" s="937">
        <v>39</v>
      </c>
      <c r="L20" s="933" t="s">
        <v>1449</v>
      </c>
      <c r="M20" s="938">
        <v>39</v>
      </c>
      <c r="N20" s="829"/>
      <c r="O20" s="932" t="s">
        <v>847</v>
      </c>
      <c r="P20" s="933" t="s">
        <v>1449</v>
      </c>
      <c r="Q20" s="939" t="s">
        <v>847</v>
      </c>
      <c r="R20" s="935" t="s">
        <v>1495</v>
      </c>
      <c r="S20" s="933" t="s">
        <v>1449</v>
      </c>
      <c r="T20" s="940" t="s">
        <v>1495</v>
      </c>
      <c r="U20" s="937">
        <v>13</v>
      </c>
      <c r="V20" s="933" t="s">
        <v>1449</v>
      </c>
      <c r="W20" s="939">
        <v>13</v>
      </c>
      <c r="X20" s="937">
        <v>39</v>
      </c>
      <c r="Y20" s="933" t="s">
        <v>1449</v>
      </c>
      <c r="Z20" s="941">
        <v>39</v>
      </c>
      <c r="AA20" s="829"/>
      <c r="AB20" s="829"/>
    </row>
    <row r="21" spans="1:28" ht="44.25">
      <c r="A21" s="829"/>
      <c r="B21" s="932" t="s">
        <v>885</v>
      </c>
      <c r="C21" s="933" t="s">
        <v>1449</v>
      </c>
      <c r="D21" s="934" t="s">
        <v>885</v>
      </c>
      <c r="E21" s="935" t="s">
        <v>1496</v>
      </c>
      <c r="F21" s="933" t="s">
        <v>1449</v>
      </c>
      <c r="G21" s="936" t="s">
        <v>1496</v>
      </c>
      <c r="H21" s="937">
        <v>14</v>
      </c>
      <c r="I21" s="933" t="s">
        <v>1449</v>
      </c>
      <c r="J21" s="963">
        <v>14</v>
      </c>
      <c r="K21" s="937">
        <v>40</v>
      </c>
      <c r="L21" s="933" t="s">
        <v>1449</v>
      </c>
      <c r="M21" s="938">
        <v>40</v>
      </c>
      <c r="N21" s="829"/>
      <c r="O21" s="932" t="s">
        <v>885</v>
      </c>
      <c r="P21" s="933" t="s">
        <v>1449</v>
      </c>
      <c r="Q21" s="939" t="s">
        <v>885</v>
      </c>
      <c r="R21" s="935" t="s">
        <v>1496</v>
      </c>
      <c r="S21" s="933" t="s">
        <v>1449</v>
      </c>
      <c r="T21" s="940" t="s">
        <v>1496</v>
      </c>
      <c r="U21" s="937">
        <v>14</v>
      </c>
      <c r="V21" s="933" t="s">
        <v>1449</v>
      </c>
      <c r="W21" s="939">
        <v>14</v>
      </c>
      <c r="X21" s="937">
        <v>40</v>
      </c>
      <c r="Y21" s="933" t="s">
        <v>1449</v>
      </c>
      <c r="Z21" s="941">
        <v>40</v>
      </c>
      <c r="AA21" s="829"/>
      <c r="AB21" s="829"/>
    </row>
    <row r="22" spans="1:28" ht="44.25">
      <c r="A22" s="829"/>
      <c r="B22" s="932" t="s">
        <v>893</v>
      </c>
      <c r="C22" s="933" t="s">
        <v>1449</v>
      </c>
      <c r="D22" s="934" t="s">
        <v>893</v>
      </c>
      <c r="E22" s="935" t="s">
        <v>1497</v>
      </c>
      <c r="F22" s="933" t="s">
        <v>1449</v>
      </c>
      <c r="G22" s="936" t="s">
        <v>1497</v>
      </c>
      <c r="H22" s="937">
        <v>15</v>
      </c>
      <c r="I22" s="933" t="s">
        <v>1449</v>
      </c>
      <c r="J22" s="963">
        <v>15</v>
      </c>
      <c r="K22" s="937">
        <v>41</v>
      </c>
      <c r="L22" s="933" t="s">
        <v>1449</v>
      </c>
      <c r="M22" s="938">
        <v>41</v>
      </c>
      <c r="N22" s="829"/>
      <c r="O22" s="932" t="s">
        <v>893</v>
      </c>
      <c r="P22" s="933" t="s">
        <v>1449</v>
      </c>
      <c r="Q22" s="939" t="s">
        <v>893</v>
      </c>
      <c r="R22" s="935" t="s">
        <v>1497</v>
      </c>
      <c r="S22" s="933" t="s">
        <v>1449</v>
      </c>
      <c r="T22" s="940" t="s">
        <v>1497</v>
      </c>
      <c r="U22" s="937">
        <v>15</v>
      </c>
      <c r="V22" s="933" t="s">
        <v>1449</v>
      </c>
      <c r="W22" s="939">
        <v>15</v>
      </c>
      <c r="X22" s="937">
        <v>41</v>
      </c>
      <c r="Y22" s="933" t="s">
        <v>1449</v>
      </c>
      <c r="Z22" s="941">
        <v>41</v>
      </c>
      <c r="AA22" s="829"/>
      <c r="AB22" s="829"/>
    </row>
    <row r="23" spans="1:28" ht="44.25">
      <c r="A23" s="829"/>
      <c r="B23" s="932" t="s">
        <v>930</v>
      </c>
      <c r="C23" s="933" t="s">
        <v>1449</v>
      </c>
      <c r="D23" s="934" t="s">
        <v>930</v>
      </c>
      <c r="E23" s="935" t="s">
        <v>1488</v>
      </c>
      <c r="F23" s="933" t="s">
        <v>1449</v>
      </c>
      <c r="G23" s="936" t="s">
        <v>1488</v>
      </c>
      <c r="H23" s="937">
        <v>16</v>
      </c>
      <c r="I23" s="933" t="s">
        <v>1449</v>
      </c>
      <c r="J23" s="963">
        <v>16</v>
      </c>
      <c r="K23" s="937">
        <v>42</v>
      </c>
      <c r="L23" s="933" t="s">
        <v>1449</v>
      </c>
      <c r="M23" s="938">
        <v>42</v>
      </c>
      <c r="N23" s="829"/>
      <c r="O23" s="932" t="s">
        <v>930</v>
      </c>
      <c r="P23" s="933" t="s">
        <v>1449</v>
      </c>
      <c r="Q23" s="939" t="s">
        <v>930</v>
      </c>
      <c r="R23" s="935" t="s">
        <v>1488</v>
      </c>
      <c r="S23" s="933" t="s">
        <v>1449</v>
      </c>
      <c r="T23" s="940" t="s">
        <v>1488</v>
      </c>
      <c r="U23" s="937">
        <v>16</v>
      </c>
      <c r="V23" s="933" t="s">
        <v>1449</v>
      </c>
      <c r="W23" s="939">
        <v>16</v>
      </c>
      <c r="X23" s="937">
        <v>42</v>
      </c>
      <c r="Y23" s="933" t="s">
        <v>1449</v>
      </c>
      <c r="Z23" s="941">
        <v>42</v>
      </c>
      <c r="AA23" s="829"/>
      <c r="AB23" s="829"/>
    </row>
    <row r="24" spans="1:28" ht="44.25">
      <c r="A24" s="829"/>
      <c r="B24" s="932" t="s">
        <v>1498</v>
      </c>
      <c r="C24" s="933" t="s">
        <v>1449</v>
      </c>
      <c r="D24" s="934" t="s">
        <v>1498</v>
      </c>
      <c r="E24" s="935" t="s">
        <v>1484</v>
      </c>
      <c r="F24" s="933" t="s">
        <v>1449</v>
      </c>
      <c r="G24" s="936" t="s">
        <v>1484</v>
      </c>
      <c r="H24" s="937">
        <v>17</v>
      </c>
      <c r="I24" s="933" t="s">
        <v>1449</v>
      </c>
      <c r="J24" s="963">
        <v>17</v>
      </c>
      <c r="K24" s="937">
        <v>43</v>
      </c>
      <c r="L24" s="933" t="s">
        <v>1449</v>
      </c>
      <c r="M24" s="938">
        <v>43</v>
      </c>
      <c r="N24" s="829"/>
      <c r="O24" s="932" t="s">
        <v>1498</v>
      </c>
      <c r="P24" s="933" t="s">
        <v>1449</v>
      </c>
      <c r="Q24" s="939" t="s">
        <v>1498</v>
      </c>
      <c r="R24" s="935" t="s">
        <v>1484</v>
      </c>
      <c r="S24" s="933" t="s">
        <v>1449</v>
      </c>
      <c r="T24" s="940" t="s">
        <v>1484</v>
      </c>
      <c r="U24" s="937">
        <v>17</v>
      </c>
      <c r="V24" s="933" t="s">
        <v>1449</v>
      </c>
      <c r="W24" s="939">
        <v>17</v>
      </c>
      <c r="X24" s="937">
        <v>43</v>
      </c>
      <c r="Y24" s="933" t="s">
        <v>1449</v>
      </c>
      <c r="Z24" s="941">
        <v>43</v>
      </c>
      <c r="AA24" s="829"/>
      <c r="AB24" s="829"/>
    </row>
    <row r="25" spans="1:28" ht="44.25">
      <c r="A25" s="829"/>
      <c r="B25" s="932" t="s">
        <v>826</v>
      </c>
      <c r="C25" s="933" t="s">
        <v>1449</v>
      </c>
      <c r="D25" s="934" t="s">
        <v>826</v>
      </c>
      <c r="E25" s="935" t="s">
        <v>1499</v>
      </c>
      <c r="F25" s="933" t="s">
        <v>1449</v>
      </c>
      <c r="G25" s="936" t="s">
        <v>1499</v>
      </c>
      <c r="H25" s="937">
        <v>18</v>
      </c>
      <c r="I25" s="933" t="s">
        <v>1449</v>
      </c>
      <c r="J25" s="963">
        <v>18</v>
      </c>
      <c r="K25" s="937">
        <v>44</v>
      </c>
      <c r="L25" s="933" t="s">
        <v>1449</v>
      </c>
      <c r="M25" s="938">
        <v>44</v>
      </c>
      <c r="N25" s="829"/>
      <c r="O25" s="932" t="s">
        <v>826</v>
      </c>
      <c r="P25" s="933" t="s">
        <v>1449</v>
      </c>
      <c r="Q25" s="939" t="s">
        <v>826</v>
      </c>
      <c r="R25" s="935" t="s">
        <v>1499</v>
      </c>
      <c r="S25" s="933" t="s">
        <v>1449</v>
      </c>
      <c r="T25" s="940" t="s">
        <v>1499</v>
      </c>
      <c r="U25" s="937">
        <v>18</v>
      </c>
      <c r="V25" s="933" t="s">
        <v>1449</v>
      </c>
      <c r="W25" s="939">
        <v>18</v>
      </c>
      <c r="X25" s="937">
        <v>44</v>
      </c>
      <c r="Y25" s="933" t="s">
        <v>1449</v>
      </c>
      <c r="Z25" s="941">
        <v>44</v>
      </c>
      <c r="AA25" s="829"/>
      <c r="AB25" s="829"/>
    </row>
    <row r="26" spans="1:28" ht="44.25">
      <c r="A26" s="829"/>
      <c r="B26" s="932" t="s">
        <v>367</v>
      </c>
      <c r="C26" s="933" t="s">
        <v>1449</v>
      </c>
      <c r="D26" s="934" t="s">
        <v>367</v>
      </c>
      <c r="E26" s="935" t="s">
        <v>1500</v>
      </c>
      <c r="F26" s="933" t="s">
        <v>1449</v>
      </c>
      <c r="G26" s="936" t="s">
        <v>1500</v>
      </c>
      <c r="H26" s="937">
        <v>19</v>
      </c>
      <c r="I26" s="933" t="s">
        <v>1449</v>
      </c>
      <c r="J26" s="963">
        <v>19</v>
      </c>
      <c r="K26" s="937">
        <v>45</v>
      </c>
      <c r="L26" s="933" t="s">
        <v>1449</v>
      </c>
      <c r="M26" s="938">
        <v>45</v>
      </c>
      <c r="N26" s="829"/>
      <c r="O26" s="932" t="s">
        <v>367</v>
      </c>
      <c r="P26" s="933" t="s">
        <v>1449</v>
      </c>
      <c r="Q26" s="939" t="s">
        <v>367</v>
      </c>
      <c r="R26" s="935" t="s">
        <v>1500</v>
      </c>
      <c r="S26" s="933" t="s">
        <v>1449</v>
      </c>
      <c r="T26" s="940" t="s">
        <v>1500</v>
      </c>
      <c r="U26" s="937">
        <v>19</v>
      </c>
      <c r="V26" s="933" t="s">
        <v>1449</v>
      </c>
      <c r="W26" s="939">
        <v>19</v>
      </c>
      <c r="X26" s="937">
        <v>45</v>
      </c>
      <c r="Y26" s="933" t="s">
        <v>1449</v>
      </c>
      <c r="Z26" s="941">
        <v>45</v>
      </c>
      <c r="AA26" s="829"/>
      <c r="AB26" s="829"/>
    </row>
    <row r="27" spans="1:28" ht="44.25">
      <c r="A27" s="829"/>
      <c r="B27" s="932" t="s">
        <v>905</v>
      </c>
      <c r="C27" s="933" t="s">
        <v>1449</v>
      </c>
      <c r="D27" s="934" t="s">
        <v>905</v>
      </c>
      <c r="E27" s="935" t="s">
        <v>1481</v>
      </c>
      <c r="F27" s="933" t="s">
        <v>1449</v>
      </c>
      <c r="G27" s="936" t="s">
        <v>1481</v>
      </c>
      <c r="H27" s="937">
        <v>20</v>
      </c>
      <c r="I27" s="933" t="s">
        <v>1449</v>
      </c>
      <c r="J27" s="963">
        <v>20</v>
      </c>
      <c r="K27" s="937">
        <v>46</v>
      </c>
      <c r="L27" s="933" t="s">
        <v>1449</v>
      </c>
      <c r="M27" s="938">
        <v>46</v>
      </c>
      <c r="N27" s="829"/>
      <c r="O27" s="932" t="s">
        <v>905</v>
      </c>
      <c r="P27" s="933" t="s">
        <v>1449</v>
      </c>
      <c r="Q27" s="939" t="s">
        <v>905</v>
      </c>
      <c r="R27" s="935" t="s">
        <v>1481</v>
      </c>
      <c r="S27" s="933" t="s">
        <v>1449</v>
      </c>
      <c r="T27" s="940" t="s">
        <v>1481</v>
      </c>
      <c r="U27" s="937">
        <v>20</v>
      </c>
      <c r="V27" s="933" t="s">
        <v>1449</v>
      </c>
      <c r="W27" s="939">
        <v>20</v>
      </c>
      <c r="X27" s="937">
        <v>46</v>
      </c>
      <c r="Y27" s="933" t="s">
        <v>1449</v>
      </c>
      <c r="Z27" s="941">
        <v>46</v>
      </c>
      <c r="AA27" s="829"/>
      <c r="AB27" s="829"/>
    </row>
    <row r="28" spans="1:28" ht="44.25">
      <c r="A28" s="829"/>
      <c r="B28" s="932" t="s">
        <v>1501</v>
      </c>
      <c r="C28" s="933" t="s">
        <v>1449</v>
      </c>
      <c r="D28" s="934" t="s">
        <v>1501</v>
      </c>
      <c r="E28" s="935" t="s">
        <v>1487</v>
      </c>
      <c r="F28" s="933" t="s">
        <v>1449</v>
      </c>
      <c r="G28" s="936" t="s">
        <v>1487</v>
      </c>
      <c r="H28" s="937">
        <v>21</v>
      </c>
      <c r="I28" s="933" t="s">
        <v>1449</v>
      </c>
      <c r="J28" s="963">
        <v>21</v>
      </c>
      <c r="K28" s="937">
        <v>47</v>
      </c>
      <c r="L28" s="933" t="s">
        <v>1449</v>
      </c>
      <c r="M28" s="938">
        <v>47</v>
      </c>
      <c r="N28" s="829"/>
      <c r="O28" s="932" t="s">
        <v>1501</v>
      </c>
      <c r="P28" s="933" t="s">
        <v>1449</v>
      </c>
      <c r="Q28" s="939" t="s">
        <v>1501</v>
      </c>
      <c r="R28" s="935" t="s">
        <v>1487</v>
      </c>
      <c r="S28" s="933" t="s">
        <v>1449</v>
      </c>
      <c r="T28" s="940" t="s">
        <v>1487</v>
      </c>
      <c r="U28" s="937">
        <v>21</v>
      </c>
      <c r="V28" s="933" t="s">
        <v>1449</v>
      </c>
      <c r="W28" s="939">
        <v>21</v>
      </c>
      <c r="X28" s="937">
        <v>47</v>
      </c>
      <c r="Y28" s="933" t="s">
        <v>1449</v>
      </c>
      <c r="Z28" s="941">
        <v>47</v>
      </c>
      <c r="AA28" s="829"/>
      <c r="AB28" s="829"/>
    </row>
    <row r="29" spans="1:28" ht="44.25">
      <c r="A29" s="829"/>
      <c r="B29" s="932" t="s">
        <v>943</v>
      </c>
      <c r="C29" s="933" t="s">
        <v>1449</v>
      </c>
      <c r="D29" s="934" t="s">
        <v>943</v>
      </c>
      <c r="E29" s="935" t="s">
        <v>1502</v>
      </c>
      <c r="F29" s="933" t="s">
        <v>1449</v>
      </c>
      <c r="G29" s="936" t="s">
        <v>1502</v>
      </c>
      <c r="H29" s="937">
        <v>22</v>
      </c>
      <c r="I29" s="933" t="s">
        <v>1449</v>
      </c>
      <c r="J29" s="963">
        <v>22</v>
      </c>
      <c r="K29" s="937">
        <v>48</v>
      </c>
      <c r="L29" s="933" t="s">
        <v>1449</v>
      </c>
      <c r="M29" s="938">
        <v>48</v>
      </c>
      <c r="N29" s="829"/>
      <c r="O29" s="932" t="s">
        <v>943</v>
      </c>
      <c r="P29" s="933" t="s">
        <v>1449</v>
      </c>
      <c r="Q29" s="939" t="s">
        <v>943</v>
      </c>
      <c r="R29" s="935" t="s">
        <v>1502</v>
      </c>
      <c r="S29" s="933" t="s">
        <v>1449</v>
      </c>
      <c r="T29" s="940" t="s">
        <v>1502</v>
      </c>
      <c r="U29" s="937">
        <v>22</v>
      </c>
      <c r="V29" s="933" t="s">
        <v>1449</v>
      </c>
      <c r="W29" s="939">
        <v>22</v>
      </c>
      <c r="X29" s="937">
        <v>48</v>
      </c>
      <c r="Y29" s="933" t="s">
        <v>1449</v>
      </c>
      <c r="Z29" s="941">
        <v>48</v>
      </c>
      <c r="AA29" s="829"/>
      <c r="AB29" s="829"/>
    </row>
    <row r="30" spans="1:28" ht="44.25">
      <c r="A30" s="829"/>
      <c r="B30" s="932" t="s">
        <v>1503</v>
      </c>
      <c r="C30" s="933" t="s">
        <v>1449</v>
      </c>
      <c r="D30" s="934" t="s">
        <v>1503</v>
      </c>
      <c r="E30" s="935" t="s">
        <v>1504</v>
      </c>
      <c r="F30" s="933" t="s">
        <v>1449</v>
      </c>
      <c r="G30" s="936" t="s">
        <v>1504</v>
      </c>
      <c r="H30" s="937">
        <v>23</v>
      </c>
      <c r="I30" s="933" t="s">
        <v>1449</v>
      </c>
      <c r="J30" s="963">
        <v>23</v>
      </c>
      <c r="K30" s="937">
        <v>49</v>
      </c>
      <c r="L30" s="933" t="s">
        <v>1449</v>
      </c>
      <c r="M30" s="938">
        <v>49</v>
      </c>
      <c r="N30" s="829"/>
      <c r="O30" s="932" t="s">
        <v>1503</v>
      </c>
      <c r="P30" s="933" t="s">
        <v>1449</v>
      </c>
      <c r="Q30" s="939" t="s">
        <v>1503</v>
      </c>
      <c r="R30" s="935" t="s">
        <v>1504</v>
      </c>
      <c r="S30" s="933" t="s">
        <v>1449</v>
      </c>
      <c r="T30" s="940" t="s">
        <v>1504</v>
      </c>
      <c r="U30" s="937">
        <v>23</v>
      </c>
      <c r="V30" s="933" t="s">
        <v>1449</v>
      </c>
      <c r="W30" s="939">
        <v>23</v>
      </c>
      <c r="X30" s="937">
        <v>49</v>
      </c>
      <c r="Y30" s="933" t="s">
        <v>1449</v>
      </c>
      <c r="Z30" s="941">
        <v>49</v>
      </c>
      <c r="AA30" s="829"/>
      <c r="AB30" s="829"/>
    </row>
    <row r="31" spans="1:28" ht="44.25">
      <c r="A31" s="829"/>
      <c r="B31" s="932" t="s">
        <v>1480</v>
      </c>
      <c r="C31" s="933" t="s">
        <v>1449</v>
      </c>
      <c r="D31" s="934" t="s">
        <v>1480</v>
      </c>
      <c r="E31" s="935" t="s">
        <v>1505</v>
      </c>
      <c r="F31" s="933" t="s">
        <v>1449</v>
      </c>
      <c r="G31" s="936" t="s">
        <v>1505</v>
      </c>
      <c r="H31" s="937">
        <v>24</v>
      </c>
      <c r="I31" s="933" t="s">
        <v>1449</v>
      </c>
      <c r="J31" s="963">
        <v>24</v>
      </c>
      <c r="K31" s="937">
        <v>50</v>
      </c>
      <c r="L31" s="933" t="s">
        <v>1449</v>
      </c>
      <c r="M31" s="938">
        <v>50</v>
      </c>
      <c r="N31" s="829"/>
      <c r="O31" s="932" t="s">
        <v>1480</v>
      </c>
      <c r="P31" s="933" t="s">
        <v>1449</v>
      </c>
      <c r="Q31" s="939" t="s">
        <v>1480</v>
      </c>
      <c r="R31" s="935" t="s">
        <v>1505</v>
      </c>
      <c r="S31" s="933" t="s">
        <v>1449</v>
      </c>
      <c r="T31" s="940" t="s">
        <v>1505</v>
      </c>
      <c r="U31" s="937">
        <v>24</v>
      </c>
      <c r="V31" s="933" t="s">
        <v>1449</v>
      </c>
      <c r="W31" s="939">
        <v>24</v>
      </c>
      <c r="X31" s="937">
        <v>50</v>
      </c>
      <c r="Y31" s="933" t="s">
        <v>1449</v>
      </c>
      <c r="Z31" s="941">
        <v>50</v>
      </c>
      <c r="AA31" s="829"/>
      <c r="AB31" s="829"/>
    </row>
    <row r="32" spans="1:28" ht="44.25">
      <c r="A32" s="829"/>
      <c r="B32" s="932" t="s">
        <v>1507</v>
      </c>
      <c r="C32" s="933" t="s">
        <v>1449</v>
      </c>
      <c r="D32" s="934" t="s">
        <v>1507</v>
      </c>
      <c r="E32" s="935" t="s">
        <v>1508</v>
      </c>
      <c r="F32" s="933" t="s">
        <v>1449</v>
      </c>
      <c r="G32" s="936" t="s">
        <v>1508</v>
      </c>
      <c r="H32" s="937">
        <v>25</v>
      </c>
      <c r="I32" s="933" t="s">
        <v>1449</v>
      </c>
      <c r="J32" s="963">
        <v>25</v>
      </c>
      <c r="K32" s="937">
        <v>51</v>
      </c>
      <c r="L32" s="933" t="s">
        <v>1449</v>
      </c>
      <c r="M32" s="938">
        <v>51</v>
      </c>
      <c r="N32" s="829"/>
      <c r="O32" s="932" t="s">
        <v>1507</v>
      </c>
      <c r="P32" s="933" t="s">
        <v>1449</v>
      </c>
      <c r="Q32" s="939" t="s">
        <v>1507</v>
      </c>
      <c r="R32" s="935" t="s">
        <v>1508</v>
      </c>
      <c r="S32" s="933" t="s">
        <v>1449</v>
      </c>
      <c r="T32" s="940" t="s">
        <v>1508</v>
      </c>
      <c r="U32" s="937">
        <v>25</v>
      </c>
      <c r="V32" s="933" t="s">
        <v>1449</v>
      </c>
      <c r="W32" s="939">
        <v>25</v>
      </c>
      <c r="X32" s="937">
        <v>51</v>
      </c>
      <c r="Y32" s="933" t="s">
        <v>1449</v>
      </c>
      <c r="Z32" s="941">
        <v>51</v>
      </c>
      <c r="AA32" s="829"/>
      <c r="AB32" s="829"/>
    </row>
    <row r="33" spans="1:28" ht="44.25">
      <c r="A33" s="829"/>
      <c r="B33" s="932" t="s">
        <v>1483</v>
      </c>
      <c r="C33" s="933" t="s">
        <v>1449</v>
      </c>
      <c r="D33" s="934" t="s">
        <v>1483</v>
      </c>
      <c r="E33" s="935" t="s">
        <v>1510</v>
      </c>
      <c r="F33" s="933" t="s">
        <v>1449</v>
      </c>
      <c r="G33" s="936" t="s">
        <v>1510</v>
      </c>
      <c r="H33" s="937">
        <v>26</v>
      </c>
      <c r="I33" s="933" t="s">
        <v>1449</v>
      </c>
      <c r="J33" s="963">
        <v>26</v>
      </c>
      <c r="K33" s="937">
        <v>52</v>
      </c>
      <c r="L33" s="933" t="s">
        <v>1449</v>
      </c>
      <c r="M33" s="938">
        <v>52</v>
      </c>
      <c r="N33" s="829"/>
      <c r="O33" s="932" t="s">
        <v>1483</v>
      </c>
      <c r="P33" s="933" t="s">
        <v>1449</v>
      </c>
      <c r="Q33" s="939" t="s">
        <v>1483</v>
      </c>
      <c r="R33" s="935" t="s">
        <v>1510</v>
      </c>
      <c r="S33" s="933" t="s">
        <v>1449</v>
      </c>
      <c r="T33" s="940" t="s">
        <v>1510</v>
      </c>
      <c r="U33" s="937">
        <v>26</v>
      </c>
      <c r="V33" s="933" t="s">
        <v>1449</v>
      </c>
      <c r="W33" s="939">
        <v>26</v>
      </c>
      <c r="X33" s="937">
        <v>52</v>
      </c>
      <c r="Y33" s="933" t="s">
        <v>1449</v>
      </c>
      <c r="Z33" s="941">
        <v>52</v>
      </c>
      <c r="AA33" s="829"/>
      <c r="AB33" s="829"/>
    </row>
    <row r="34" spans="1:28" ht="44.25">
      <c r="A34" s="829"/>
      <c r="B34" s="932" t="s">
        <v>1512</v>
      </c>
      <c r="C34" s="933" t="s">
        <v>1449</v>
      </c>
      <c r="D34" s="934" t="s">
        <v>1512</v>
      </c>
      <c r="E34" s="935" t="s">
        <v>21</v>
      </c>
      <c r="F34" s="933" t="s">
        <v>1449</v>
      </c>
      <c r="G34" s="936" t="s">
        <v>21</v>
      </c>
      <c r="H34" s="937" t="s">
        <v>1513</v>
      </c>
      <c r="I34" s="933" t="s">
        <v>1449</v>
      </c>
      <c r="J34" s="963" t="s">
        <v>1513</v>
      </c>
      <c r="K34" s="937" t="s">
        <v>1514</v>
      </c>
      <c r="L34" s="933" t="s">
        <v>1449</v>
      </c>
      <c r="M34" s="938" t="s">
        <v>1514</v>
      </c>
      <c r="N34" s="829"/>
      <c r="O34" s="932" t="s">
        <v>1512</v>
      </c>
      <c r="P34" s="933" t="s">
        <v>1449</v>
      </c>
      <c r="Q34" s="939" t="s">
        <v>1512</v>
      </c>
      <c r="R34" s="935" t="s">
        <v>21</v>
      </c>
      <c r="S34" s="933" t="s">
        <v>1449</v>
      </c>
      <c r="T34" s="940" t="s">
        <v>21</v>
      </c>
      <c r="U34" s="967" t="s">
        <v>1513</v>
      </c>
      <c r="V34" s="933" t="s">
        <v>1449</v>
      </c>
      <c r="W34" s="939" t="s">
        <v>1513</v>
      </c>
      <c r="X34" s="968" t="s">
        <v>1514</v>
      </c>
      <c r="Y34" s="933" t="s">
        <v>1449</v>
      </c>
      <c r="Z34" s="941" t="s">
        <v>1514</v>
      </c>
      <c r="AA34" s="829"/>
      <c r="AB34" s="829"/>
    </row>
    <row r="35" spans="1:28" ht="44.25">
      <c r="A35" s="829"/>
      <c r="B35" s="932" t="s">
        <v>1515</v>
      </c>
      <c r="C35" s="933" t="s">
        <v>1449</v>
      </c>
      <c r="D35" s="934" t="s">
        <v>1515</v>
      </c>
      <c r="E35" s="935" t="s">
        <v>1516</v>
      </c>
      <c r="F35" s="933" t="s">
        <v>1449</v>
      </c>
      <c r="G35" s="936" t="s">
        <v>1516</v>
      </c>
      <c r="H35" s="937" t="s">
        <v>226</v>
      </c>
      <c r="I35" s="933" t="s">
        <v>1449</v>
      </c>
      <c r="J35" s="963" t="s">
        <v>226</v>
      </c>
      <c r="K35" s="937" t="s">
        <v>1517</v>
      </c>
      <c r="L35" s="933" t="s">
        <v>1449</v>
      </c>
      <c r="M35" s="938" t="s">
        <v>1517</v>
      </c>
      <c r="N35" s="829"/>
      <c r="O35" s="932" t="s">
        <v>1515</v>
      </c>
      <c r="P35" s="933" t="s">
        <v>1449</v>
      </c>
      <c r="Q35" s="939" t="s">
        <v>1515</v>
      </c>
      <c r="R35" s="935" t="s">
        <v>1516</v>
      </c>
      <c r="S35" s="933" t="s">
        <v>1449</v>
      </c>
      <c r="T35" s="940" t="s">
        <v>1516</v>
      </c>
      <c r="U35" s="967" t="s">
        <v>226</v>
      </c>
      <c r="V35" s="933" t="s">
        <v>1449</v>
      </c>
      <c r="W35" s="939" t="s">
        <v>226</v>
      </c>
      <c r="X35" s="968" t="s">
        <v>1517</v>
      </c>
      <c r="Y35" s="933" t="s">
        <v>1449</v>
      </c>
      <c r="Z35" s="941" t="s">
        <v>1517</v>
      </c>
      <c r="AA35" s="829"/>
      <c r="AB35" s="829"/>
    </row>
    <row r="36" spans="1:28" ht="44.25">
      <c r="A36" s="829"/>
      <c r="B36" s="932" t="s">
        <v>1519</v>
      </c>
      <c r="C36" s="933" t="s">
        <v>1449</v>
      </c>
      <c r="D36" s="934" t="s">
        <v>1519</v>
      </c>
      <c r="E36" s="935" t="s">
        <v>1520</v>
      </c>
      <c r="F36" s="933" t="s">
        <v>1449</v>
      </c>
      <c r="G36" s="936" t="s">
        <v>1520</v>
      </c>
      <c r="H36" s="937" t="s">
        <v>1521</v>
      </c>
      <c r="I36" s="933" t="s">
        <v>1449</v>
      </c>
      <c r="J36" s="963" t="s">
        <v>1521</v>
      </c>
      <c r="K36" s="937" t="s">
        <v>1522</v>
      </c>
      <c r="L36" s="933" t="s">
        <v>1449</v>
      </c>
      <c r="M36" s="938" t="s">
        <v>1522</v>
      </c>
      <c r="N36" s="829"/>
      <c r="O36" s="932" t="s">
        <v>1519</v>
      </c>
      <c r="P36" s="933" t="s">
        <v>1449</v>
      </c>
      <c r="Q36" s="939" t="s">
        <v>1519</v>
      </c>
      <c r="R36" s="935" t="s">
        <v>1520</v>
      </c>
      <c r="S36" s="933" t="s">
        <v>1449</v>
      </c>
      <c r="T36" s="940" t="s">
        <v>1520</v>
      </c>
      <c r="U36" s="967" t="s">
        <v>1521</v>
      </c>
      <c r="V36" s="933" t="s">
        <v>1449</v>
      </c>
      <c r="W36" s="939" t="s">
        <v>1521</v>
      </c>
      <c r="X36" s="968" t="s">
        <v>1522</v>
      </c>
      <c r="Y36" s="933" t="s">
        <v>1449</v>
      </c>
      <c r="Z36" s="941" t="s">
        <v>1522</v>
      </c>
      <c r="AA36" s="829"/>
      <c r="AB36" s="966"/>
    </row>
    <row r="37" spans="1:28" ht="44.25">
      <c r="A37" s="829"/>
      <c r="B37" s="932" t="s">
        <v>1524</v>
      </c>
      <c r="C37" s="933" t="s">
        <v>1449</v>
      </c>
      <c r="D37" s="934" t="s">
        <v>1524</v>
      </c>
      <c r="E37" s="935" t="s">
        <v>1525</v>
      </c>
      <c r="F37" s="933" t="s">
        <v>1449</v>
      </c>
      <c r="G37" s="936" t="s">
        <v>1525</v>
      </c>
      <c r="H37" s="937" t="s">
        <v>70</v>
      </c>
      <c r="I37" s="933" t="s">
        <v>1449</v>
      </c>
      <c r="J37" s="963" t="s">
        <v>70</v>
      </c>
      <c r="K37" s="937" t="s">
        <v>2</v>
      </c>
      <c r="L37" s="933" t="s">
        <v>1449</v>
      </c>
      <c r="M37" s="938" t="s">
        <v>2</v>
      </c>
      <c r="N37" s="829"/>
      <c r="O37" s="932" t="s">
        <v>1524</v>
      </c>
      <c r="P37" s="933" t="s">
        <v>1449</v>
      </c>
      <c r="Q37" s="939" t="s">
        <v>1524</v>
      </c>
      <c r="R37" s="935" t="s">
        <v>1525</v>
      </c>
      <c r="S37" s="933" t="s">
        <v>1449</v>
      </c>
      <c r="T37" s="940" t="s">
        <v>1525</v>
      </c>
      <c r="U37" s="967" t="s">
        <v>70</v>
      </c>
      <c r="V37" s="933" t="s">
        <v>1449</v>
      </c>
      <c r="W37" s="939" t="s">
        <v>70</v>
      </c>
      <c r="X37" s="968" t="s">
        <v>2</v>
      </c>
      <c r="Y37" s="933" t="s">
        <v>1449</v>
      </c>
      <c r="Z37" s="941" t="s">
        <v>2</v>
      </c>
      <c r="AA37" s="829"/>
      <c r="AB37" s="829"/>
    </row>
    <row r="38" spans="1:28" ht="44.25">
      <c r="A38" s="829"/>
      <c r="B38" s="932" t="s">
        <v>1526</v>
      </c>
      <c r="C38" s="933" t="s">
        <v>1449</v>
      </c>
      <c r="D38" s="934" t="s">
        <v>1526</v>
      </c>
      <c r="E38" s="935" t="s">
        <v>1527</v>
      </c>
      <c r="F38" s="933" t="s">
        <v>1449</v>
      </c>
      <c r="G38" s="936" t="s">
        <v>1527</v>
      </c>
      <c r="H38" s="937" t="s">
        <v>1528</v>
      </c>
      <c r="I38" s="933" t="s">
        <v>1449</v>
      </c>
      <c r="J38" s="963" t="s">
        <v>1528</v>
      </c>
      <c r="K38" s="937" t="s">
        <v>1529</v>
      </c>
      <c r="L38" s="933" t="s">
        <v>1449</v>
      </c>
      <c r="M38" s="938" t="s">
        <v>1529</v>
      </c>
      <c r="N38" s="829"/>
      <c r="O38" s="932" t="s">
        <v>1526</v>
      </c>
      <c r="P38" s="933" t="s">
        <v>1449</v>
      </c>
      <c r="Q38" s="939" t="s">
        <v>1526</v>
      </c>
      <c r="R38" s="935" t="s">
        <v>1527</v>
      </c>
      <c r="S38" s="933" t="s">
        <v>1449</v>
      </c>
      <c r="T38" s="940" t="s">
        <v>1527</v>
      </c>
      <c r="U38" s="967" t="s">
        <v>1528</v>
      </c>
      <c r="V38" s="933" t="s">
        <v>1449</v>
      </c>
      <c r="W38" s="939" t="s">
        <v>1528</v>
      </c>
      <c r="X38" s="968" t="s">
        <v>1529</v>
      </c>
      <c r="Y38" s="933" t="s">
        <v>1449</v>
      </c>
      <c r="Z38" s="941" t="s">
        <v>1529</v>
      </c>
      <c r="AA38" s="829"/>
      <c r="AB38" s="829"/>
    </row>
    <row r="39" spans="1:28" ht="44.25">
      <c r="A39" s="829"/>
      <c r="B39" s="932" t="s">
        <v>1531</v>
      </c>
      <c r="C39" s="933" t="s">
        <v>1449</v>
      </c>
      <c r="D39" s="934" t="s">
        <v>1531</v>
      </c>
      <c r="E39" s="935" t="s">
        <v>1532</v>
      </c>
      <c r="F39" s="933" t="s">
        <v>1449</v>
      </c>
      <c r="G39" s="936" t="s">
        <v>1532</v>
      </c>
      <c r="H39" s="937" t="s">
        <v>1533</v>
      </c>
      <c r="I39" s="933" t="s">
        <v>1449</v>
      </c>
      <c r="J39" s="963" t="s">
        <v>1533</v>
      </c>
      <c r="K39" s="937" t="s">
        <v>1534</v>
      </c>
      <c r="L39" s="933" t="s">
        <v>1449</v>
      </c>
      <c r="M39" s="938" t="s">
        <v>1534</v>
      </c>
      <c r="N39" s="829"/>
      <c r="O39" s="932" t="s">
        <v>1531</v>
      </c>
      <c r="P39" s="933" t="s">
        <v>1449</v>
      </c>
      <c r="Q39" s="939" t="s">
        <v>1531</v>
      </c>
      <c r="R39" s="935" t="s">
        <v>1532</v>
      </c>
      <c r="S39" s="933" t="s">
        <v>1449</v>
      </c>
      <c r="T39" s="940" t="s">
        <v>1532</v>
      </c>
      <c r="U39" s="967" t="s">
        <v>1533</v>
      </c>
      <c r="V39" s="933" t="s">
        <v>1449</v>
      </c>
      <c r="W39" s="939" t="s">
        <v>1533</v>
      </c>
      <c r="X39" s="968" t="s">
        <v>1534</v>
      </c>
      <c r="Y39" s="933" t="s">
        <v>1449</v>
      </c>
      <c r="Z39" s="941" t="s">
        <v>1534</v>
      </c>
      <c r="AA39" s="829"/>
      <c r="AB39" s="829"/>
    </row>
    <row r="40" spans="1:28" ht="44.25">
      <c r="A40" s="829"/>
      <c r="B40" s="932" t="s">
        <v>1536</v>
      </c>
      <c r="C40" s="933" t="s">
        <v>1449</v>
      </c>
      <c r="D40" s="934" t="s">
        <v>1536</v>
      </c>
      <c r="E40" s="935" t="s">
        <v>1537</v>
      </c>
      <c r="F40" s="933" t="s">
        <v>1449</v>
      </c>
      <c r="G40" s="936" t="s">
        <v>1537</v>
      </c>
      <c r="H40" s="937" t="s">
        <v>1538</v>
      </c>
      <c r="I40" s="933" t="s">
        <v>1449</v>
      </c>
      <c r="J40" s="963" t="s">
        <v>1538</v>
      </c>
      <c r="K40" s="937" t="s">
        <v>1539</v>
      </c>
      <c r="L40" s="933" t="s">
        <v>1449</v>
      </c>
      <c r="M40" s="938" t="s">
        <v>1539</v>
      </c>
      <c r="N40" s="829"/>
      <c r="O40" s="932" t="s">
        <v>1536</v>
      </c>
      <c r="P40" s="933" t="s">
        <v>1449</v>
      </c>
      <c r="Q40" s="939" t="s">
        <v>1536</v>
      </c>
      <c r="R40" s="935" t="s">
        <v>1537</v>
      </c>
      <c r="S40" s="933" t="s">
        <v>1449</v>
      </c>
      <c r="T40" s="940" t="s">
        <v>1537</v>
      </c>
      <c r="U40" s="967" t="s">
        <v>1538</v>
      </c>
      <c r="V40" s="933" t="s">
        <v>1449</v>
      </c>
      <c r="W40" s="939" t="s">
        <v>1538</v>
      </c>
      <c r="X40" s="968" t="s">
        <v>1539</v>
      </c>
      <c r="Y40" s="933" t="s">
        <v>1449</v>
      </c>
      <c r="Z40" s="941" t="s">
        <v>1539</v>
      </c>
      <c r="AA40" s="829"/>
      <c r="AB40" s="966"/>
    </row>
    <row r="41" spans="1:28" ht="44.25">
      <c r="A41" s="829"/>
      <c r="B41" s="932" t="s">
        <v>1540</v>
      </c>
      <c r="C41" s="933" t="s">
        <v>1449</v>
      </c>
      <c r="D41" s="934" t="s">
        <v>1540</v>
      </c>
      <c r="E41" s="935" t="s">
        <v>1541</v>
      </c>
      <c r="F41" s="933" t="s">
        <v>1449</v>
      </c>
      <c r="G41" s="936" t="s">
        <v>1541</v>
      </c>
      <c r="H41" s="937" t="s">
        <v>1542</v>
      </c>
      <c r="I41" s="933" t="s">
        <v>1449</v>
      </c>
      <c r="J41" s="963" t="s">
        <v>1542</v>
      </c>
      <c r="K41" s="937" t="s">
        <v>44</v>
      </c>
      <c r="L41" s="933" t="s">
        <v>1449</v>
      </c>
      <c r="M41" s="938" t="s">
        <v>44</v>
      </c>
      <c r="N41" s="829"/>
      <c r="O41" s="932" t="s">
        <v>1540</v>
      </c>
      <c r="P41" s="933" t="s">
        <v>1449</v>
      </c>
      <c r="Q41" s="939" t="s">
        <v>1540</v>
      </c>
      <c r="R41" s="935" t="s">
        <v>1541</v>
      </c>
      <c r="S41" s="933" t="s">
        <v>1449</v>
      </c>
      <c r="T41" s="940" t="s">
        <v>1541</v>
      </c>
      <c r="U41" s="967" t="s">
        <v>1542</v>
      </c>
      <c r="V41" s="933" t="s">
        <v>1449</v>
      </c>
      <c r="W41" s="939" t="s">
        <v>1542</v>
      </c>
      <c r="X41" s="968" t="s">
        <v>44</v>
      </c>
      <c r="Y41" s="933" t="s">
        <v>1449</v>
      </c>
      <c r="Z41" s="941" t="s">
        <v>44</v>
      </c>
      <c r="AA41" s="829"/>
      <c r="AB41" s="829"/>
    </row>
    <row r="42" spans="1:28" ht="44.25">
      <c r="A42" s="829"/>
      <c r="B42" s="932"/>
      <c r="C42" s="933" t="s">
        <v>1449</v>
      </c>
      <c r="D42" s="934"/>
      <c r="E42" s="935" t="s">
        <v>1544</v>
      </c>
      <c r="F42" s="933" t="s">
        <v>1449</v>
      </c>
      <c r="G42" s="936" t="s">
        <v>1544</v>
      </c>
      <c r="H42" s="937" t="s">
        <v>1545</v>
      </c>
      <c r="I42" s="933" t="s">
        <v>1449</v>
      </c>
      <c r="J42" s="963" t="s">
        <v>1545</v>
      </c>
      <c r="K42" s="937"/>
      <c r="L42" s="933" t="s">
        <v>1449</v>
      </c>
      <c r="M42" s="938"/>
      <c r="N42" s="829"/>
      <c r="O42" s="932"/>
      <c r="P42" s="933" t="s">
        <v>1449</v>
      </c>
      <c r="Q42" s="939"/>
      <c r="R42" s="935" t="s">
        <v>1544</v>
      </c>
      <c r="S42" s="933" t="s">
        <v>1449</v>
      </c>
      <c r="T42" s="940" t="s">
        <v>1544</v>
      </c>
      <c r="U42" s="967" t="s">
        <v>1545</v>
      </c>
      <c r="V42" s="933" t="s">
        <v>1449</v>
      </c>
      <c r="W42" s="939" t="s">
        <v>1545</v>
      </c>
      <c r="X42" s="968"/>
      <c r="Y42" s="933" t="s">
        <v>1449</v>
      </c>
      <c r="Z42" s="941"/>
      <c r="AA42" s="829"/>
      <c r="AB42" s="829"/>
    </row>
    <row r="43" spans="1:28" ht="20.25">
      <c r="A43" s="829"/>
      <c r="B43" s="969"/>
      <c r="C43" s="970"/>
      <c r="D43" s="970"/>
      <c r="E43" s="970"/>
      <c r="F43" s="970"/>
      <c r="G43" s="970"/>
      <c r="H43" s="970"/>
      <c r="I43" s="970"/>
      <c r="J43" s="970"/>
      <c r="K43" s="970"/>
      <c r="L43" s="970"/>
      <c r="M43" s="971"/>
      <c r="N43" s="972"/>
      <c r="O43" s="969"/>
      <c r="P43" s="970"/>
      <c r="Q43" s="970"/>
      <c r="R43" s="970"/>
      <c r="S43" s="970"/>
      <c r="T43" s="970"/>
      <c r="U43" s="970"/>
      <c r="V43" s="970"/>
      <c r="W43" s="970"/>
      <c r="X43" s="970"/>
      <c r="Y43" s="970"/>
      <c r="Z43" s="971"/>
      <c r="AA43" s="972"/>
      <c r="AB43" s="829"/>
    </row>
    <row r="46" spans="1:28" ht="30">
      <c r="B46" s="909" t="s">
        <v>1445</v>
      </c>
      <c r="C46" s="910"/>
      <c r="D46" s="911" t="s">
        <v>1446</v>
      </c>
      <c r="E46" s="973" t="s">
        <v>1548</v>
      </c>
      <c r="F46" s="974"/>
      <c r="G46" s="974"/>
      <c r="H46" s="974"/>
      <c r="I46" s="974"/>
      <c r="J46" s="974"/>
      <c r="K46" s="974"/>
      <c r="L46" s="974"/>
      <c r="M46" s="975"/>
      <c r="O46" s="909" t="s">
        <v>1445</v>
      </c>
      <c r="P46" s="910"/>
      <c r="Q46" s="911" t="s">
        <v>1446</v>
      </c>
      <c r="R46" s="976" t="s">
        <v>1549</v>
      </c>
      <c r="S46" s="977"/>
      <c r="T46" s="977"/>
      <c r="U46" s="977"/>
      <c r="V46" s="977"/>
      <c r="W46" s="977"/>
      <c r="X46" s="977"/>
      <c r="Y46" s="977"/>
      <c r="Z46" s="978"/>
    </row>
    <row r="47" spans="1:28" ht="30">
      <c r="B47" s="918" t="s">
        <v>1451</v>
      </c>
      <c r="C47" s="919" t="s">
        <v>1449</v>
      </c>
      <c r="D47" s="979" t="str">
        <f>B47</f>
        <v>Aa</v>
      </c>
      <c r="E47" s="980" t="s">
        <v>1556</v>
      </c>
      <c r="F47" s="980"/>
      <c r="G47" s="981"/>
      <c r="H47" s="981"/>
      <c r="I47" s="981"/>
      <c r="J47" s="981"/>
      <c r="K47" s="981"/>
      <c r="L47" s="981"/>
      <c r="M47" s="982"/>
      <c r="O47" s="918" t="s">
        <v>1451</v>
      </c>
      <c r="P47" s="919" t="s">
        <v>1449</v>
      </c>
      <c r="Q47" s="983" t="str">
        <f>O47</f>
        <v>Aa</v>
      </c>
      <c r="R47" s="980" t="s">
        <v>1556</v>
      </c>
      <c r="S47" s="980"/>
      <c r="T47" s="981"/>
      <c r="U47" s="981"/>
      <c r="V47" s="981"/>
      <c r="W47" s="981"/>
      <c r="X47" s="981"/>
      <c r="Y47" s="981"/>
      <c r="Z47" s="982"/>
    </row>
    <row r="48" spans="1:28">
      <c r="B48" s="927"/>
      <c r="C48" s="928"/>
      <c r="D48" s="928"/>
      <c r="E48" s="928"/>
      <c r="F48" s="928"/>
      <c r="G48" s="928"/>
      <c r="H48" s="928"/>
      <c r="I48" s="928"/>
      <c r="J48" s="928"/>
      <c r="K48" s="928"/>
      <c r="L48" s="928"/>
      <c r="M48" s="929"/>
      <c r="O48" s="927"/>
      <c r="P48" s="928"/>
      <c r="Q48" s="928"/>
      <c r="R48" s="928"/>
      <c r="S48" s="928"/>
      <c r="T48" s="928"/>
      <c r="U48" s="928"/>
      <c r="V48" s="928"/>
      <c r="W48" s="928"/>
      <c r="X48" s="928"/>
      <c r="Y48" s="928"/>
      <c r="Z48" s="929"/>
    </row>
    <row r="49" spans="1:28">
      <c r="B49" s="930" t="s">
        <v>1452</v>
      </c>
      <c r="C49" s="3369" t="s">
        <v>1453</v>
      </c>
      <c r="D49" s="3370"/>
      <c r="E49" s="931" t="s">
        <v>1454</v>
      </c>
      <c r="F49" s="3369" t="s">
        <v>1453</v>
      </c>
      <c r="G49" s="3370"/>
      <c r="H49" s="931" t="s">
        <v>1455</v>
      </c>
      <c r="I49" s="3369" t="s">
        <v>1453</v>
      </c>
      <c r="J49" s="3370"/>
      <c r="K49" s="931" t="s">
        <v>1456</v>
      </c>
      <c r="L49" s="3369" t="s">
        <v>1453</v>
      </c>
      <c r="M49" s="3371"/>
      <c r="O49" s="930" t="s">
        <v>1452</v>
      </c>
      <c r="P49" s="3360" t="s">
        <v>1453</v>
      </c>
      <c r="Q49" s="3361"/>
      <c r="R49" s="931" t="s">
        <v>1454</v>
      </c>
      <c r="S49" s="3360" t="s">
        <v>1453</v>
      </c>
      <c r="T49" s="3361"/>
      <c r="U49" s="931" t="s">
        <v>1455</v>
      </c>
      <c r="V49" s="3360" t="s">
        <v>1453</v>
      </c>
      <c r="W49" s="3361"/>
      <c r="X49" s="931" t="s">
        <v>1456</v>
      </c>
      <c r="Y49" s="3360" t="s">
        <v>1453</v>
      </c>
      <c r="Z49" s="3362"/>
    </row>
    <row r="50" spans="1:28" ht="44.25">
      <c r="A50" s="829"/>
      <c r="B50" s="932" t="s">
        <v>351</v>
      </c>
      <c r="C50" s="933" t="s">
        <v>1449</v>
      </c>
      <c r="D50" s="984" t="s">
        <v>351</v>
      </c>
      <c r="E50" s="935" t="s">
        <v>1457</v>
      </c>
      <c r="F50" s="933" t="s">
        <v>1449</v>
      </c>
      <c r="G50" s="985" t="s">
        <v>1457</v>
      </c>
      <c r="H50" s="937">
        <v>1</v>
      </c>
      <c r="I50" s="933" t="s">
        <v>1449</v>
      </c>
      <c r="J50" s="985">
        <v>1</v>
      </c>
      <c r="K50" s="937">
        <v>27</v>
      </c>
      <c r="L50" s="933" t="s">
        <v>1449</v>
      </c>
      <c r="M50" s="986">
        <v>27</v>
      </c>
      <c r="N50" s="829"/>
      <c r="O50" s="932" t="s">
        <v>351</v>
      </c>
      <c r="P50" s="933" t="s">
        <v>1449</v>
      </c>
      <c r="Q50" s="987" t="s">
        <v>351</v>
      </c>
      <c r="R50" s="935" t="s">
        <v>1457</v>
      </c>
      <c r="S50" s="933" t="s">
        <v>1449</v>
      </c>
      <c r="T50" s="988" t="s">
        <v>1457</v>
      </c>
      <c r="U50" s="937">
        <v>1</v>
      </c>
      <c r="V50" s="933" t="s">
        <v>1449</v>
      </c>
      <c r="W50" s="987">
        <v>1</v>
      </c>
      <c r="X50" s="937">
        <v>27</v>
      </c>
      <c r="Y50" s="933" t="s">
        <v>1449</v>
      </c>
      <c r="Z50" s="989">
        <v>27</v>
      </c>
      <c r="AA50" s="829"/>
      <c r="AB50" s="829"/>
    </row>
    <row r="51" spans="1:28" ht="44.25">
      <c r="A51" s="829"/>
      <c r="B51" s="932" t="s">
        <v>353</v>
      </c>
      <c r="C51" s="933" t="s">
        <v>1449</v>
      </c>
      <c r="D51" s="984" t="s">
        <v>353</v>
      </c>
      <c r="E51" s="935" t="s">
        <v>1460</v>
      </c>
      <c r="F51" s="933" t="s">
        <v>1449</v>
      </c>
      <c r="G51" s="985" t="s">
        <v>1460</v>
      </c>
      <c r="H51" s="937">
        <v>2</v>
      </c>
      <c r="I51" s="933" t="s">
        <v>1449</v>
      </c>
      <c r="J51" s="985">
        <v>2</v>
      </c>
      <c r="K51" s="937">
        <v>28</v>
      </c>
      <c r="L51" s="933" t="s">
        <v>1449</v>
      </c>
      <c r="M51" s="986">
        <v>28</v>
      </c>
      <c r="N51" s="829"/>
      <c r="O51" s="932" t="s">
        <v>353</v>
      </c>
      <c r="P51" s="933" t="s">
        <v>1449</v>
      </c>
      <c r="Q51" s="987" t="s">
        <v>353</v>
      </c>
      <c r="R51" s="935" t="s">
        <v>1460</v>
      </c>
      <c r="S51" s="933" t="s">
        <v>1449</v>
      </c>
      <c r="T51" s="988" t="s">
        <v>1460</v>
      </c>
      <c r="U51" s="937">
        <v>2</v>
      </c>
      <c r="V51" s="933" t="s">
        <v>1449</v>
      </c>
      <c r="W51" s="987">
        <v>2</v>
      </c>
      <c r="X51" s="937">
        <v>28</v>
      </c>
      <c r="Y51" s="933" t="s">
        <v>1449</v>
      </c>
      <c r="Z51" s="989">
        <v>28</v>
      </c>
      <c r="AA51" s="829"/>
      <c r="AB51" s="829"/>
    </row>
    <row r="52" spans="1:28" ht="44.25">
      <c r="A52" s="829"/>
      <c r="B52" s="932" t="s">
        <v>352</v>
      </c>
      <c r="C52" s="933" t="s">
        <v>1449</v>
      </c>
      <c r="D52" s="984" t="s">
        <v>352</v>
      </c>
      <c r="E52" s="935" t="s">
        <v>1464</v>
      </c>
      <c r="F52" s="933" t="s">
        <v>1449</v>
      </c>
      <c r="G52" s="985" t="s">
        <v>1464</v>
      </c>
      <c r="H52" s="937">
        <v>3</v>
      </c>
      <c r="I52" s="933" t="s">
        <v>1449</v>
      </c>
      <c r="J52" s="985">
        <v>3</v>
      </c>
      <c r="K52" s="937">
        <v>29</v>
      </c>
      <c r="L52" s="933" t="s">
        <v>1449</v>
      </c>
      <c r="M52" s="986">
        <v>29</v>
      </c>
      <c r="N52" s="829"/>
      <c r="O52" s="932" t="s">
        <v>352</v>
      </c>
      <c r="P52" s="933" t="s">
        <v>1449</v>
      </c>
      <c r="Q52" s="987" t="s">
        <v>352</v>
      </c>
      <c r="R52" s="935" t="s">
        <v>1464</v>
      </c>
      <c r="S52" s="933" t="s">
        <v>1449</v>
      </c>
      <c r="T52" s="988" t="s">
        <v>1464</v>
      </c>
      <c r="U52" s="937">
        <v>3</v>
      </c>
      <c r="V52" s="933" t="s">
        <v>1449</v>
      </c>
      <c r="W52" s="987">
        <v>3</v>
      </c>
      <c r="X52" s="937">
        <v>29</v>
      </c>
      <c r="Y52" s="933" t="s">
        <v>1449</v>
      </c>
      <c r="Z52" s="989">
        <v>29</v>
      </c>
      <c r="AA52" s="829"/>
      <c r="AB52" s="829"/>
    </row>
    <row r="53" spans="1:28" ht="44.25">
      <c r="A53" s="829"/>
      <c r="B53" s="932" t="s">
        <v>356</v>
      </c>
      <c r="C53" s="933" t="s">
        <v>1449</v>
      </c>
      <c r="D53" s="984" t="s">
        <v>356</v>
      </c>
      <c r="E53" s="935" t="s">
        <v>1467</v>
      </c>
      <c r="F53" s="933" t="s">
        <v>1449</v>
      </c>
      <c r="G53" s="985" t="s">
        <v>1467</v>
      </c>
      <c r="H53" s="937">
        <v>4</v>
      </c>
      <c r="I53" s="933" t="s">
        <v>1449</v>
      </c>
      <c r="J53" s="985">
        <v>4</v>
      </c>
      <c r="K53" s="937">
        <v>30</v>
      </c>
      <c r="L53" s="933" t="s">
        <v>1449</v>
      </c>
      <c r="M53" s="986">
        <v>30</v>
      </c>
      <c r="N53" s="829"/>
      <c r="O53" s="932" t="s">
        <v>356</v>
      </c>
      <c r="P53" s="933" t="s">
        <v>1449</v>
      </c>
      <c r="Q53" s="987" t="s">
        <v>356</v>
      </c>
      <c r="R53" s="935" t="s">
        <v>1467</v>
      </c>
      <c r="S53" s="933" t="s">
        <v>1449</v>
      </c>
      <c r="T53" s="988" t="s">
        <v>1467</v>
      </c>
      <c r="U53" s="937">
        <v>4</v>
      </c>
      <c r="V53" s="933" t="s">
        <v>1449</v>
      </c>
      <c r="W53" s="987">
        <v>4</v>
      </c>
      <c r="X53" s="937">
        <v>30</v>
      </c>
      <c r="Y53" s="933" t="s">
        <v>1449</v>
      </c>
      <c r="Z53" s="989">
        <v>30</v>
      </c>
      <c r="AA53" s="829"/>
      <c r="AB53" s="829"/>
    </row>
    <row r="54" spans="1:28" ht="44.25">
      <c r="A54" s="829"/>
      <c r="B54" s="932" t="s">
        <v>961</v>
      </c>
      <c r="C54" s="933" t="s">
        <v>1449</v>
      </c>
      <c r="D54" s="984" t="s">
        <v>961</v>
      </c>
      <c r="E54" s="935" t="s">
        <v>1470</v>
      </c>
      <c r="F54" s="933" t="s">
        <v>1449</v>
      </c>
      <c r="G54" s="985" t="s">
        <v>1470</v>
      </c>
      <c r="H54" s="937">
        <v>5</v>
      </c>
      <c r="I54" s="933" t="s">
        <v>1449</v>
      </c>
      <c r="J54" s="985">
        <v>5</v>
      </c>
      <c r="K54" s="937">
        <v>31</v>
      </c>
      <c r="L54" s="933" t="s">
        <v>1449</v>
      </c>
      <c r="M54" s="986">
        <v>31</v>
      </c>
      <c r="N54" s="829"/>
      <c r="O54" s="932" t="s">
        <v>961</v>
      </c>
      <c r="P54" s="933" t="s">
        <v>1449</v>
      </c>
      <c r="Q54" s="987" t="s">
        <v>961</v>
      </c>
      <c r="R54" s="935" t="s">
        <v>1470</v>
      </c>
      <c r="S54" s="933" t="s">
        <v>1449</v>
      </c>
      <c r="T54" s="988" t="s">
        <v>1470</v>
      </c>
      <c r="U54" s="937">
        <v>5</v>
      </c>
      <c r="V54" s="933" t="s">
        <v>1449</v>
      </c>
      <c r="W54" s="987">
        <v>5</v>
      </c>
      <c r="X54" s="937">
        <v>31</v>
      </c>
      <c r="Y54" s="933" t="s">
        <v>1449</v>
      </c>
      <c r="Z54" s="989">
        <v>31</v>
      </c>
      <c r="AA54" s="829"/>
      <c r="AB54" s="829"/>
    </row>
    <row r="55" spans="1:28" ht="44.25">
      <c r="A55" s="829"/>
      <c r="B55" s="932" t="s">
        <v>357</v>
      </c>
      <c r="C55" s="933" t="s">
        <v>1449</v>
      </c>
      <c r="D55" s="984" t="s">
        <v>357</v>
      </c>
      <c r="E55" s="935" t="s">
        <v>1478</v>
      </c>
      <c r="F55" s="933" t="s">
        <v>1449</v>
      </c>
      <c r="G55" s="985" t="s">
        <v>1478</v>
      </c>
      <c r="H55" s="937">
        <v>6</v>
      </c>
      <c r="I55" s="933" t="s">
        <v>1449</v>
      </c>
      <c r="J55" s="985">
        <v>6</v>
      </c>
      <c r="K55" s="937">
        <v>32</v>
      </c>
      <c r="L55" s="933" t="s">
        <v>1449</v>
      </c>
      <c r="M55" s="986">
        <v>32</v>
      </c>
      <c r="N55" s="829"/>
      <c r="O55" s="932" t="s">
        <v>357</v>
      </c>
      <c r="P55" s="933" t="s">
        <v>1449</v>
      </c>
      <c r="Q55" s="987" t="s">
        <v>357</v>
      </c>
      <c r="R55" s="935" t="s">
        <v>1478</v>
      </c>
      <c r="S55" s="933" t="s">
        <v>1449</v>
      </c>
      <c r="T55" s="988" t="s">
        <v>1478</v>
      </c>
      <c r="U55" s="937">
        <v>6</v>
      </c>
      <c r="V55" s="933" t="s">
        <v>1449</v>
      </c>
      <c r="W55" s="987">
        <v>6</v>
      </c>
      <c r="X55" s="937">
        <v>32</v>
      </c>
      <c r="Y55" s="933" t="s">
        <v>1449</v>
      </c>
      <c r="Z55" s="989">
        <v>32</v>
      </c>
      <c r="AA55" s="829"/>
      <c r="AB55" s="829"/>
    </row>
    <row r="56" spans="1:28" ht="44.25">
      <c r="A56" s="829"/>
      <c r="B56" s="932" t="s">
        <v>825</v>
      </c>
      <c r="C56" s="933" t="s">
        <v>1449</v>
      </c>
      <c r="D56" s="984" t="s">
        <v>825</v>
      </c>
      <c r="E56" s="935" t="s">
        <v>1482</v>
      </c>
      <c r="F56" s="933" t="s">
        <v>1449</v>
      </c>
      <c r="G56" s="985" t="s">
        <v>1482</v>
      </c>
      <c r="H56" s="937">
        <v>7</v>
      </c>
      <c r="I56" s="933" t="s">
        <v>1449</v>
      </c>
      <c r="J56" s="985">
        <v>7</v>
      </c>
      <c r="K56" s="937">
        <v>33</v>
      </c>
      <c r="L56" s="933" t="s">
        <v>1449</v>
      </c>
      <c r="M56" s="986">
        <v>33</v>
      </c>
      <c r="N56" s="829"/>
      <c r="O56" s="932" t="s">
        <v>825</v>
      </c>
      <c r="P56" s="933" t="s">
        <v>1449</v>
      </c>
      <c r="Q56" s="987" t="s">
        <v>825</v>
      </c>
      <c r="R56" s="935" t="s">
        <v>1482</v>
      </c>
      <c r="S56" s="933" t="s">
        <v>1449</v>
      </c>
      <c r="T56" s="988" t="s">
        <v>1482</v>
      </c>
      <c r="U56" s="937">
        <v>7</v>
      </c>
      <c r="V56" s="933" t="s">
        <v>1449</v>
      </c>
      <c r="W56" s="987">
        <v>7</v>
      </c>
      <c r="X56" s="937">
        <v>33</v>
      </c>
      <c r="Y56" s="933" t="s">
        <v>1449</v>
      </c>
      <c r="Z56" s="989">
        <v>33</v>
      </c>
      <c r="AA56" s="829"/>
      <c r="AB56" s="829"/>
    </row>
    <row r="57" spans="1:28" ht="44.25">
      <c r="A57" s="829"/>
      <c r="B57" s="932" t="s">
        <v>1485</v>
      </c>
      <c r="C57" s="933" t="s">
        <v>1449</v>
      </c>
      <c r="D57" s="984" t="s">
        <v>1485</v>
      </c>
      <c r="E57" s="935" t="s">
        <v>1486</v>
      </c>
      <c r="F57" s="933" t="s">
        <v>1449</v>
      </c>
      <c r="G57" s="985" t="s">
        <v>1486</v>
      </c>
      <c r="H57" s="937">
        <v>8</v>
      </c>
      <c r="I57" s="933" t="s">
        <v>1449</v>
      </c>
      <c r="J57" s="985">
        <v>8</v>
      </c>
      <c r="K57" s="937">
        <v>34</v>
      </c>
      <c r="L57" s="933" t="s">
        <v>1449</v>
      </c>
      <c r="M57" s="986">
        <v>34</v>
      </c>
      <c r="N57" s="829"/>
      <c r="O57" s="932" t="s">
        <v>1485</v>
      </c>
      <c r="P57" s="933" t="s">
        <v>1449</v>
      </c>
      <c r="Q57" s="987" t="s">
        <v>1485</v>
      </c>
      <c r="R57" s="935" t="s">
        <v>1486</v>
      </c>
      <c r="S57" s="933" t="s">
        <v>1449</v>
      </c>
      <c r="T57" s="988" t="s">
        <v>1486</v>
      </c>
      <c r="U57" s="937">
        <v>8</v>
      </c>
      <c r="V57" s="933" t="s">
        <v>1449</v>
      </c>
      <c r="W57" s="987">
        <v>8</v>
      </c>
      <c r="X57" s="937">
        <v>34</v>
      </c>
      <c r="Y57" s="933" t="s">
        <v>1449</v>
      </c>
      <c r="Z57" s="989">
        <v>34</v>
      </c>
      <c r="AA57" s="829"/>
      <c r="AB57" s="829"/>
    </row>
    <row r="58" spans="1:28" ht="44.25">
      <c r="A58" s="829"/>
      <c r="B58" s="932" t="s">
        <v>360</v>
      </c>
      <c r="C58" s="933" t="s">
        <v>1449</v>
      </c>
      <c r="D58" s="984" t="s">
        <v>360</v>
      </c>
      <c r="E58" s="935" t="s">
        <v>1489</v>
      </c>
      <c r="F58" s="933" t="s">
        <v>1449</v>
      </c>
      <c r="G58" s="985" t="s">
        <v>1489</v>
      </c>
      <c r="H58" s="937">
        <v>9</v>
      </c>
      <c r="I58" s="933" t="s">
        <v>1449</v>
      </c>
      <c r="J58" s="985">
        <v>9</v>
      </c>
      <c r="K58" s="937">
        <v>35</v>
      </c>
      <c r="L58" s="933" t="s">
        <v>1449</v>
      </c>
      <c r="M58" s="986">
        <v>35</v>
      </c>
      <c r="N58" s="829"/>
      <c r="O58" s="932" t="s">
        <v>360</v>
      </c>
      <c r="P58" s="933" t="s">
        <v>1449</v>
      </c>
      <c r="Q58" s="987" t="s">
        <v>360</v>
      </c>
      <c r="R58" s="935" t="s">
        <v>1489</v>
      </c>
      <c r="S58" s="933" t="s">
        <v>1449</v>
      </c>
      <c r="T58" s="988" t="s">
        <v>1489</v>
      </c>
      <c r="U58" s="937">
        <v>9</v>
      </c>
      <c r="V58" s="933" t="s">
        <v>1449</v>
      </c>
      <c r="W58" s="987">
        <v>9</v>
      </c>
      <c r="X58" s="937">
        <v>35</v>
      </c>
      <c r="Y58" s="933" t="s">
        <v>1449</v>
      </c>
      <c r="Z58" s="989">
        <v>35</v>
      </c>
      <c r="AA58" s="829"/>
      <c r="AB58" s="829"/>
    </row>
    <row r="59" spans="1:28" ht="44.25">
      <c r="A59" s="829"/>
      <c r="B59" s="932" t="s">
        <v>363</v>
      </c>
      <c r="C59" s="933" t="s">
        <v>1449</v>
      </c>
      <c r="D59" s="984" t="s">
        <v>363</v>
      </c>
      <c r="E59" s="935" t="s">
        <v>1491</v>
      </c>
      <c r="F59" s="933" t="s">
        <v>1449</v>
      </c>
      <c r="G59" s="985" t="s">
        <v>1491</v>
      </c>
      <c r="H59" s="937">
        <v>10</v>
      </c>
      <c r="I59" s="933" t="s">
        <v>1449</v>
      </c>
      <c r="J59" s="985">
        <v>10</v>
      </c>
      <c r="K59" s="937">
        <v>36</v>
      </c>
      <c r="L59" s="933" t="s">
        <v>1449</v>
      </c>
      <c r="M59" s="986">
        <v>36</v>
      </c>
      <c r="N59" s="829"/>
      <c r="O59" s="932" t="s">
        <v>363</v>
      </c>
      <c r="P59" s="933" t="s">
        <v>1449</v>
      </c>
      <c r="Q59" s="987" t="s">
        <v>363</v>
      </c>
      <c r="R59" s="935" t="s">
        <v>1491</v>
      </c>
      <c r="S59" s="933" t="s">
        <v>1449</v>
      </c>
      <c r="T59" s="988" t="s">
        <v>1491</v>
      </c>
      <c r="U59" s="937">
        <v>10</v>
      </c>
      <c r="V59" s="933" t="s">
        <v>1449</v>
      </c>
      <c r="W59" s="987">
        <v>10</v>
      </c>
      <c r="X59" s="937">
        <v>36</v>
      </c>
      <c r="Y59" s="933" t="s">
        <v>1449</v>
      </c>
      <c r="Z59" s="989">
        <v>36</v>
      </c>
      <c r="AA59" s="829"/>
      <c r="AB59" s="829"/>
    </row>
    <row r="60" spans="1:28" ht="44.25">
      <c r="A60" s="829"/>
      <c r="B60" s="932" t="s">
        <v>365</v>
      </c>
      <c r="C60" s="933" t="s">
        <v>1449</v>
      </c>
      <c r="D60" s="984" t="s">
        <v>365</v>
      </c>
      <c r="E60" s="935" t="s">
        <v>1492</v>
      </c>
      <c r="F60" s="933" t="s">
        <v>1449</v>
      </c>
      <c r="G60" s="985" t="s">
        <v>1492</v>
      </c>
      <c r="H60" s="937">
        <v>11</v>
      </c>
      <c r="I60" s="933" t="s">
        <v>1449</v>
      </c>
      <c r="J60" s="985">
        <v>11</v>
      </c>
      <c r="K60" s="937">
        <v>37</v>
      </c>
      <c r="L60" s="933" t="s">
        <v>1449</v>
      </c>
      <c r="M60" s="986">
        <v>37</v>
      </c>
      <c r="N60" s="829"/>
      <c r="O60" s="932" t="s">
        <v>365</v>
      </c>
      <c r="P60" s="933" t="s">
        <v>1449</v>
      </c>
      <c r="Q60" s="987" t="s">
        <v>365</v>
      </c>
      <c r="R60" s="935" t="s">
        <v>1492</v>
      </c>
      <c r="S60" s="933" t="s">
        <v>1449</v>
      </c>
      <c r="T60" s="988" t="s">
        <v>1492</v>
      </c>
      <c r="U60" s="937">
        <v>11</v>
      </c>
      <c r="V60" s="933" t="s">
        <v>1449</v>
      </c>
      <c r="W60" s="987">
        <v>11</v>
      </c>
      <c r="X60" s="937">
        <v>37</v>
      </c>
      <c r="Y60" s="933" t="s">
        <v>1449</v>
      </c>
      <c r="Z60" s="989">
        <v>37</v>
      </c>
      <c r="AA60" s="829"/>
      <c r="AB60" s="829"/>
    </row>
    <row r="61" spans="1:28" ht="44.25">
      <c r="A61" s="829"/>
      <c r="B61" s="932" t="s">
        <v>36</v>
      </c>
      <c r="C61" s="933" t="s">
        <v>1449</v>
      </c>
      <c r="D61" s="984" t="s">
        <v>36</v>
      </c>
      <c r="E61" s="935" t="s">
        <v>1493</v>
      </c>
      <c r="F61" s="933" t="s">
        <v>1449</v>
      </c>
      <c r="G61" s="985" t="s">
        <v>1493</v>
      </c>
      <c r="H61" s="937">
        <v>12</v>
      </c>
      <c r="I61" s="933" t="s">
        <v>1449</v>
      </c>
      <c r="J61" s="985">
        <v>12</v>
      </c>
      <c r="K61" s="937">
        <v>38</v>
      </c>
      <c r="L61" s="933" t="s">
        <v>1449</v>
      </c>
      <c r="M61" s="986">
        <v>38</v>
      </c>
      <c r="N61" s="829"/>
      <c r="O61" s="932" t="s">
        <v>36</v>
      </c>
      <c r="P61" s="933" t="s">
        <v>1449</v>
      </c>
      <c r="Q61" s="987" t="s">
        <v>36</v>
      </c>
      <c r="R61" s="935" t="s">
        <v>1493</v>
      </c>
      <c r="S61" s="933" t="s">
        <v>1449</v>
      </c>
      <c r="T61" s="988" t="s">
        <v>1493</v>
      </c>
      <c r="U61" s="937">
        <v>12</v>
      </c>
      <c r="V61" s="933" t="s">
        <v>1449</v>
      </c>
      <c r="W61" s="987">
        <v>12</v>
      </c>
      <c r="X61" s="937">
        <v>38</v>
      </c>
      <c r="Y61" s="933" t="s">
        <v>1449</v>
      </c>
      <c r="Z61" s="989">
        <v>38</v>
      </c>
      <c r="AA61" s="829"/>
      <c r="AB61" s="829"/>
    </row>
    <row r="62" spans="1:28" ht="44.25">
      <c r="A62" s="829"/>
      <c r="B62" s="932" t="s">
        <v>847</v>
      </c>
      <c r="C62" s="933" t="s">
        <v>1449</v>
      </c>
      <c r="D62" s="984" t="s">
        <v>847</v>
      </c>
      <c r="E62" s="935" t="s">
        <v>1495</v>
      </c>
      <c r="F62" s="933" t="s">
        <v>1449</v>
      </c>
      <c r="G62" s="985" t="s">
        <v>1495</v>
      </c>
      <c r="H62" s="937">
        <v>13</v>
      </c>
      <c r="I62" s="933" t="s">
        <v>1449</v>
      </c>
      <c r="J62" s="985">
        <v>13</v>
      </c>
      <c r="K62" s="937">
        <v>39</v>
      </c>
      <c r="L62" s="933" t="s">
        <v>1449</v>
      </c>
      <c r="M62" s="986">
        <v>39</v>
      </c>
      <c r="N62" s="829"/>
      <c r="O62" s="932" t="s">
        <v>847</v>
      </c>
      <c r="P62" s="933" t="s">
        <v>1449</v>
      </c>
      <c r="Q62" s="987" t="s">
        <v>847</v>
      </c>
      <c r="R62" s="935" t="s">
        <v>1495</v>
      </c>
      <c r="S62" s="933" t="s">
        <v>1449</v>
      </c>
      <c r="T62" s="988" t="s">
        <v>1495</v>
      </c>
      <c r="U62" s="937">
        <v>13</v>
      </c>
      <c r="V62" s="933" t="s">
        <v>1449</v>
      </c>
      <c r="W62" s="987">
        <v>13</v>
      </c>
      <c r="X62" s="937">
        <v>39</v>
      </c>
      <c r="Y62" s="933" t="s">
        <v>1449</v>
      </c>
      <c r="Z62" s="989">
        <v>39</v>
      </c>
      <c r="AA62" s="829"/>
      <c r="AB62" s="829"/>
    </row>
    <row r="63" spans="1:28" ht="44.25">
      <c r="A63" s="829"/>
      <c r="B63" s="932" t="s">
        <v>885</v>
      </c>
      <c r="C63" s="933" t="s">
        <v>1449</v>
      </c>
      <c r="D63" s="984" t="s">
        <v>885</v>
      </c>
      <c r="E63" s="935" t="s">
        <v>1496</v>
      </c>
      <c r="F63" s="933" t="s">
        <v>1449</v>
      </c>
      <c r="G63" s="985" t="s">
        <v>1496</v>
      </c>
      <c r="H63" s="937">
        <v>14</v>
      </c>
      <c r="I63" s="933" t="s">
        <v>1449</v>
      </c>
      <c r="J63" s="985">
        <v>14</v>
      </c>
      <c r="K63" s="937">
        <v>40</v>
      </c>
      <c r="L63" s="933" t="s">
        <v>1449</v>
      </c>
      <c r="M63" s="986">
        <v>40</v>
      </c>
      <c r="N63" s="829"/>
      <c r="O63" s="932" t="s">
        <v>885</v>
      </c>
      <c r="P63" s="933" t="s">
        <v>1449</v>
      </c>
      <c r="Q63" s="987" t="s">
        <v>885</v>
      </c>
      <c r="R63" s="935" t="s">
        <v>1496</v>
      </c>
      <c r="S63" s="933" t="s">
        <v>1449</v>
      </c>
      <c r="T63" s="988" t="s">
        <v>1496</v>
      </c>
      <c r="U63" s="937">
        <v>14</v>
      </c>
      <c r="V63" s="933" t="s">
        <v>1449</v>
      </c>
      <c r="W63" s="987">
        <v>14</v>
      </c>
      <c r="X63" s="937">
        <v>40</v>
      </c>
      <c r="Y63" s="933" t="s">
        <v>1449</v>
      </c>
      <c r="Z63" s="989">
        <v>40</v>
      </c>
      <c r="AA63" s="829"/>
      <c r="AB63" s="829"/>
    </row>
    <row r="64" spans="1:28" ht="44.25">
      <c r="A64" s="829"/>
      <c r="B64" s="932" t="s">
        <v>893</v>
      </c>
      <c r="C64" s="933" t="s">
        <v>1449</v>
      </c>
      <c r="D64" s="984" t="s">
        <v>893</v>
      </c>
      <c r="E64" s="935" t="s">
        <v>1497</v>
      </c>
      <c r="F64" s="933" t="s">
        <v>1449</v>
      </c>
      <c r="G64" s="985" t="s">
        <v>1497</v>
      </c>
      <c r="H64" s="937">
        <v>15</v>
      </c>
      <c r="I64" s="933" t="s">
        <v>1449</v>
      </c>
      <c r="J64" s="985">
        <v>15</v>
      </c>
      <c r="K64" s="937">
        <v>41</v>
      </c>
      <c r="L64" s="933" t="s">
        <v>1449</v>
      </c>
      <c r="M64" s="986">
        <v>41</v>
      </c>
      <c r="N64" s="829"/>
      <c r="O64" s="932" t="s">
        <v>893</v>
      </c>
      <c r="P64" s="933" t="s">
        <v>1449</v>
      </c>
      <c r="Q64" s="987" t="s">
        <v>893</v>
      </c>
      <c r="R64" s="935" t="s">
        <v>1497</v>
      </c>
      <c r="S64" s="933" t="s">
        <v>1449</v>
      </c>
      <c r="T64" s="988" t="s">
        <v>1497</v>
      </c>
      <c r="U64" s="937">
        <v>15</v>
      </c>
      <c r="V64" s="933" t="s">
        <v>1449</v>
      </c>
      <c r="W64" s="987">
        <v>15</v>
      </c>
      <c r="X64" s="937">
        <v>41</v>
      </c>
      <c r="Y64" s="933" t="s">
        <v>1449</v>
      </c>
      <c r="Z64" s="989">
        <v>41</v>
      </c>
      <c r="AA64" s="829"/>
      <c r="AB64" s="829"/>
    </row>
    <row r="65" spans="1:28" ht="44.25">
      <c r="A65" s="829"/>
      <c r="B65" s="932" t="s">
        <v>930</v>
      </c>
      <c r="C65" s="933" t="s">
        <v>1449</v>
      </c>
      <c r="D65" s="984" t="s">
        <v>930</v>
      </c>
      <c r="E65" s="935" t="s">
        <v>1488</v>
      </c>
      <c r="F65" s="933" t="s">
        <v>1449</v>
      </c>
      <c r="G65" s="985" t="s">
        <v>1488</v>
      </c>
      <c r="H65" s="937">
        <v>16</v>
      </c>
      <c r="I65" s="933" t="s">
        <v>1449</v>
      </c>
      <c r="J65" s="985">
        <v>16</v>
      </c>
      <c r="K65" s="937">
        <v>42</v>
      </c>
      <c r="L65" s="933" t="s">
        <v>1449</v>
      </c>
      <c r="M65" s="986">
        <v>42</v>
      </c>
      <c r="N65" s="829"/>
      <c r="O65" s="932" t="s">
        <v>930</v>
      </c>
      <c r="P65" s="933" t="s">
        <v>1449</v>
      </c>
      <c r="Q65" s="987" t="s">
        <v>930</v>
      </c>
      <c r="R65" s="935" t="s">
        <v>1488</v>
      </c>
      <c r="S65" s="933" t="s">
        <v>1449</v>
      </c>
      <c r="T65" s="988" t="s">
        <v>1488</v>
      </c>
      <c r="U65" s="937">
        <v>16</v>
      </c>
      <c r="V65" s="933" t="s">
        <v>1449</v>
      </c>
      <c r="W65" s="987">
        <v>16</v>
      </c>
      <c r="X65" s="937">
        <v>42</v>
      </c>
      <c r="Y65" s="933" t="s">
        <v>1449</v>
      </c>
      <c r="Z65" s="989">
        <v>42</v>
      </c>
      <c r="AA65" s="829"/>
      <c r="AB65" s="829"/>
    </row>
    <row r="66" spans="1:28" ht="44.25">
      <c r="A66" s="829"/>
      <c r="B66" s="932" t="s">
        <v>1498</v>
      </c>
      <c r="C66" s="933" t="s">
        <v>1449</v>
      </c>
      <c r="D66" s="984" t="s">
        <v>1498</v>
      </c>
      <c r="E66" s="935" t="s">
        <v>1484</v>
      </c>
      <c r="F66" s="933" t="s">
        <v>1449</v>
      </c>
      <c r="G66" s="985" t="s">
        <v>1484</v>
      </c>
      <c r="H66" s="937">
        <v>17</v>
      </c>
      <c r="I66" s="933" t="s">
        <v>1449</v>
      </c>
      <c r="J66" s="985">
        <v>17</v>
      </c>
      <c r="K66" s="937">
        <v>43</v>
      </c>
      <c r="L66" s="933" t="s">
        <v>1449</v>
      </c>
      <c r="M66" s="986">
        <v>43</v>
      </c>
      <c r="N66" s="829"/>
      <c r="O66" s="932" t="s">
        <v>1498</v>
      </c>
      <c r="P66" s="933" t="s">
        <v>1449</v>
      </c>
      <c r="Q66" s="987" t="s">
        <v>1498</v>
      </c>
      <c r="R66" s="935" t="s">
        <v>1484</v>
      </c>
      <c r="S66" s="933" t="s">
        <v>1449</v>
      </c>
      <c r="T66" s="988" t="s">
        <v>1484</v>
      </c>
      <c r="U66" s="937">
        <v>17</v>
      </c>
      <c r="V66" s="933" t="s">
        <v>1449</v>
      </c>
      <c r="W66" s="987">
        <v>17</v>
      </c>
      <c r="X66" s="937">
        <v>43</v>
      </c>
      <c r="Y66" s="933" t="s">
        <v>1449</v>
      </c>
      <c r="Z66" s="989">
        <v>43</v>
      </c>
      <c r="AA66" s="829"/>
      <c r="AB66" s="829"/>
    </row>
    <row r="67" spans="1:28" ht="44.25">
      <c r="A67" s="829"/>
      <c r="B67" s="932" t="s">
        <v>826</v>
      </c>
      <c r="C67" s="933" t="s">
        <v>1449</v>
      </c>
      <c r="D67" s="984" t="s">
        <v>826</v>
      </c>
      <c r="E67" s="935" t="s">
        <v>1499</v>
      </c>
      <c r="F67" s="933" t="s">
        <v>1449</v>
      </c>
      <c r="G67" s="985" t="s">
        <v>1499</v>
      </c>
      <c r="H67" s="937">
        <v>18</v>
      </c>
      <c r="I67" s="933" t="s">
        <v>1449</v>
      </c>
      <c r="J67" s="985">
        <v>18</v>
      </c>
      <c r="K67" s="937">
        <v>44</v>
      </c>
      <c r="L67" s="933" t="s">
        <v>1449</v>
      </c>
      <c r="M67" s="986">
        <v>44</v>
      </c>
      <c r="N67" s="829"/>
      <c r="O67" s="932" t="s">
        <v>826</v>
      </c>
      <c r="P67" s="933" t="s">
        <v>1449</v>
      </c>
      <c r="Q67" s="987" t="s">
        <v>826</v>
      </c>
      <c r="R67" s="935" t="s">
        <v>1499</v>
      </c>
      <c r="S67" s="933" t="s">
        <v>1449</v>
      </c>
      <c r="T67" s="988" t="s">
        <v>1499</v>
      </c>
      <c r="U67" s="937">
        <v>18</v>
      </c>
      <c r="V67" s="933" t="s">
        <v>1449</v>
      </c>
      <c r="W67" s="987">
        <v>18</v>
      </c>
      <c r="X67" s="937">
        <v>44</v>
      </c>
      <c r="Y67" s="933" t="s">
        <v>1449</v>
      </c>
      <c r="Z67" s="989">
        <v>44</v>
      </c>
      <c r="AA67" s="829"/>
      <c r="AB67" s="829"/>
    </row>
    <row r="68" spans="1:28" ht="44.25">
      <c r="A68" s="829"/>
      <c r="B68" s="932" t="s">
        <v>367</v>
      </c>
      <c r="C68" s="933" t="s">
        <v>1449</v>
      </c>
      <c r="D68" s="984" t="s">
        <v>367</v>
      </c>
      <c r="E68" s="935" t="s">
        <v>1500</v>
      </c>
      <c r="F68" s="933" t="s">
        <v>1449</v>
      </c>
      <c r="G68" s="985" t="s">
        <v>1500</v>
      </c>
      <c r="H68" s="937">
        <v>19</v>
      </c>
      <c r="I68" s="933" t="s">
        <v>1449</v>
      </c>
      <c r="J68" s="985">
        <v>19</v>
      </c>
      <c r="K68" s="937">
        <v>45</v>
      </c>
      <c r="L68" s="933" t="s">
        <v>1449</v>
      </c>
      <c r="M68" s="986">
        <v>45</v>
      </c>
      <c r="N68" s="829"/>
      <c r="O68" s="932" t="s">
        <v>367</v>
      </c>
      <c r="P68" s="933" t="s">
        <v>1449</v>
      </c>
      <c r="Q68" s="987" t="s">
        <v>367</v>
      </c>
      <c r="R68" s="935" t="s">
        <v>1500</v>
      </c>
      <c r="S68" s="933" t="s">
        <v>1449</v>
      </c>
      <c r="T68" s="988" t="s">
        <v>1500</v>
      </c>
      <c r="U68" s="937">
        <v>19</v>
      </c>
      <c r="V68" s="933" t="s">
        <v>1449</v>
      </c>
      <c r="W68" s="987">
        <v>19</v>
      </c>
      <c r="X68" s="937">
        <v>45</v>
      </c>
      <c r="Y68" s="933" t="s">
        <v>1449</v>
      </c>
      <c r="Z68" s="989">
        <v>45</v>
      </c>
      <c r="AA68" s="829"/>
      <c r="AB68" s="829"/>
    </row>
    <row r="69" spans="1:28" ht="44.25">
      <c r="A69" s="829"/>
      <c r="B69" s="932" t="s">
        <v>905</v>
      </c>
      <c r="C69" s="933" t="s">
        <v>1449</v>
      </c>
      <c r="D69" s="984" t="s">
        <v>905</v>
      </c>
      <c r="E69" s="935" t="s">
        <v>1481</v>
      </c>
      <c r="F69" s="933" t="s">
        <v>1449</v>
      </c>
      <c r="G69" s="985" t="s">
        <v>1481</v>
      </c>
      <c r="H69" s="937">
        <v>20</v>
      </c>
      <c r="I69" s="933" t="s">
        <v>1449</v>
      </c>
      <c r="J69" s="985">
        <v>20</v>
      </c>
      <c r="K69" s="937">
        <v>46</v>
      </c>
      <c r="L69" s="933" t="s">
        <v>1449</v>
      </c>
      <c r="M69" s="986">
        <v>46</v>
      </c>
      <c r="N69" s="829"/>
      <c r="O69" s="932" t="s">
        <v>905</v>
      </c>
      <c r="P69" s="933" t="s">
        <v>1449</v>
      </c>
      <c r="Q69" s="987" t="s">
        <v>905</v>
      </c>
      <c r="R69" s="935" t="s">
        <v>1481</v>
      </c>
      <c r="S69" s="933" t="s">
        <v>1449</v>
      </c>
      <c r="T69" s="988" t="s">
        <v>1481</v>
      </c>
      <c r="U69" s="937">
        <v>20</v>
      </c>
      <c r="V69" s="933" t="s">
        <v>1449</v>
      </c>
      <c r="W69" s="987">
        <v>20</v>
      </c>
      <c r="X69" s="937">
        <v>46</v>
      </c>
      <c r="Y69" s="933" t="s">
        <v>1449</v>
      </c>
      <c r="Z69" s="989">
        <v>46</v>
      </c>
      <c r="AA69" s="829"/>
      <c r="AB69" s="829"/>
    </row>
    <row r="70" spans="1:28" ht="44.25">
      <c r="A70" s="829"/>
      <c r="B70" s="932" t="s">
        <v>1501</v>
      </c>
      <c r="C70" s="933" t="s">
        <v>1449</v>
      </c>
      <c r="D70" s="984" t="s">
        <v>1501</v>
      </c>
      <c r="E70" s="935" t="s">
        <v>1487</v>
      </c>
      <c r="F70" s="933" t="s">
        <v>1449</v>
      </c>
      <c r="G70" s="985" t="s">
        <v>1487</v>
      </c>
      <c r="H70" s="937">
        <v>21</v>
      </c>
      <c r="I70" s="933" t="s">
        <v>1449</v>
      </c>
      <c r="J70" s="985">
        <v>21</v>
      </c>
      <c r="K70" s="937">
        <v>47</v>
      </c>
      <c r="L70" s="933" t="s">
        <v>1449</v>
      </c>
      <c r="M70" s="986">
        <v>47</v>
      </c>
      <c r="N70" s="829"/>
      <c r="O70" s="932" t="s">
        <v>1501</v>
      </c>
      <c r="P70" s="933" t="s">
        <v>1449</v>
      </c>
      <c r="Q70" s="987" t="s">
        <v>1501</v>
      </c>
      <c r="R70" s="935" t="s">
        <v>1487</v>
      </c>
      <c r="S70" s="933" t="s">
        <v>1449</v>
      </c>
      <c r="T70" s="988" t="s">
        <v>1487</v>
      </c>
      <c r="U70" s="937">
        <v>21</v>
      </c>
      <c r="V70" s="933" t="s">
        <v>1449</v>
      </c>
      <c r="W70" s="987">
        <v>21</v>
      </c>
      <c r="X70" s="937">
        <v>47</v>
      </c>
      <c r="Y70" s="933" t="s">
        <v>1449</v>
      </c>
      <c r="Z70" s="989">
        <v>47</v>
      </c>
      <c r="AA70" s="829"/>
      <c r="AB70" s="829"/>
    </row>
    <row r="71" spans="1:28" ht="44.25">
      <c r="A71" s="829"/>
      <c r="B71" s="932" t="s">
        <v>943</v>
      </c>
      <c r="C71" s="933" t="s">
        <v>1449</v>
      </c>
      <c r="D71" s="984" t="s">
        <v>943</v>
      </c>
      <c r="E71" s="935" t="s">
        <v>1502</v>
      </c>
      <c r="F71" s="933" t="s">
        <v>1449</v>
      </c>
      <c r="G71" s="985" t="s">
        <v>1502</v>
      </c>
      <c r="H71" s="937">
        <v>22</v>
      </c>
      <c r="I71" s="933" t="s">
        <v>1449</v>
      </c>
      <c r="J71" s="985">
        <v>22</v>
      </c>
      <c r="K71" s="937">
        <v>48</v>
      </c>
      <c r="L71" s="933" t="s">
        <v>1449</v>
      </c>
      <c r="M71" s="986">
        <v>48</v>
      </c>
      <c r="N71" s="829"/>
      <c r="O71" s="932" t="s">
        <v>943</v>
      </c>
      <c r="P71" s="933" t="s">
        <v>1449</v>
      </c>
      <c r="Q71" s="987" t="s">
        <v>943</v>
      </c>
      <c r="R71" s="935" t="s">
        <v>1502</v>
      </c>
      <c r="S71" s="933" t="s">
        <v>1449</v>
      </c>
      <c r="T71" s="988" t="s">
        <v>1502</v>
      </c>
      <c r="U71" s="937">
        <v>22</v>
      </c>
      <c r="V71" s="933" t="s">
        <v>1449</v>
      </c>
      <c r="W71" s="987">
        <v>22</v>
      </c>
      <c r="X71" s="937">
        <v>48</v>
      </c>
      <c r="Y71" s="933" t="s">
        <v>1449</v>
      </c>
      <c r="Z71" s="989">
        <v>48</v>
      </c>
      <c r="AA71" s="829"/>
      <c r="AB71" s="829"/>
    </row>
    <row r="72" spans="1:28" ht="44.25">
      <c r="A72" s="829"/>
      <c r="B72" s="932" t="s">
        <v>1503</v>
      </c>
      <c r="C72" s="933" t="s">
        <v>1449</v>
      </c>
      <c r="D72" s="984" t="s">
        <v>1503</v>
      </c>
      <c r="E72" s="935" t="s">
        <v>1504</v>
      </c>
      <c r="F72" s="933" t="s">
        <v>1449</v>
      </c>
      <c r="G72" s="985" t="s">
        <v>1504</v>
      </c>
      <c r="H72" s="937">
        <v>23</v>
      </c>
      <c r="I72" s="933" t="s">
        <v>1449</v>
      </c>
      <c r="J72" s="985">
        <v>23</v>
      </c>
      <c r="K72" s="937">
        <v>49</v>
      </c>
      <c r="L72" s="933" t="s">
        <v>1449</v>
      </c>
      <c r="M72" s="986">
        <v>49</v>
      </c>
      <c r="N72" s="829"/>
      <c r="O72" s="932" t="s">
        <v>1503</v>
      </c>
      <c r="P72" s="933" t="s">
        <v>1449</v>
      </c>
      <c r="Q72" s="987" t="s">
        <v>1503</v>
      </c>
      <c r="R72" s="935" t="s">
        <v>1504</v>
      </c>
      <c r="S72" s="933" t="s">
        <v>1449</v>
      </c>
      <c r="T72" s="988" t="s">
        <v>1504</v>
      </c>
      <c r="U72" s="937">
        <v>23</v>
      </c>
      <c r="V72" s="933" t="s">
        <v>1449</v>
      </c>
      <c r="W72" s="987">
        <v>23</v>
      </c>
      <c r="X72" s="937">
        <v>49</v>
      </c>
      <c r="Y72" s="933" t="s">
        <v>1449</v>
      </c>
      <c r="Z72" s="989">
        <v>49</v>
      </c>
      <c r="AA72" s="829"/>
      <c r="AB72" s="829"/>
    </row>
    <row r="73" spans="1:28" ht="44.25">
      <c r="A73" s="829"/>
      <c r="B73" s="932" t="s">
        <v>1480</v>
      </c>
      <c r="C73" s="933" t="s">
        <v>1449</v>
      </c>
      <c r="D73" s="984" t="s">
        <v>1480</v>
      </c>
      <c r="E73" s="935" t="s">
        <v>1505</v>
      </c>
      <c r="F73" s="933" t="s">
        <v>1449</v>
      </c>
      <c r="G73" s="985" t="s">
        <v>1505</v>
      </c>
      <c r="H73" s="937">
        <v>24</v>
      </c>
      <c r="I73" s="933" t="s">
        <v>1449</v>
      </c>
      <c r="J73" s="985">
        <v>24</v>
      </c>
      <c r="K73" s="937">
        <v>50</v>
      </c>
      <c r="L73" s="933" t="s">
        <v>1449</v>
      </c>
      <c r="M73" s="986">
        <v>50</v>
      </c>
      <c r="N73" s="829"/>
      <c r="O73" s="932" t="s">
        <v>1480</v>
      </c>
      <c r="P73" s="933" t="s">
        <v>1449</v>
      </c>
      <c r="Q73" s="987" t="s">
        <v>1480</v>
      </c>
      <c r="R73" s="935" t="s">
        <v>1505</v>
      </c>
      <c r="S73" s="933" t="s">
        <v>1449</v>
      </c>
      <c r="T73" s="988" t="s">
        <v>1505</v>
      </c>
      <c r="U73" s="937">
        <v>24</v>
      </c>
      <c r="V73" s="933" t="s">
        <v>1449</v>
      </c>
      <c r="W73" s="987">
        <v>24</v>
      </c>
      <c r="X73" s="937">
        <v>50</v>
      </c>
      <c r="Y73" s="933" t="s">
        <v>1449</v>
      </c>
      <c r="Z73" s="989">
        <v>50</v>
      </c>
      <c r="AA73" s="829"/>
      <c r="AB73" s="829"/>
    </row>
    <row r="74" spans="1:28" ht="44.25">
      <c r="A74" s="829"/>
      <c r="B74" s="932" t="s">
        <v>1507</v>
      </c>
      <c r="C74" s="933" t="s">
        <v>1449</v>
      </c>
      <c r="D74" s="984" t="s">
        <v>1507</v>
      </c>
      <c r="E74" s="935" t="s">
        <v>1508</v>
      </c>
      <c r="F74" s="933" t="s">
        <v>1449</v>
      </c>
      <c r="G74" s="985" t="s">
        <v>1508</v>
      </c>
      <c r="H74" s="937">
        <v>25</v>
      </c>
      <c r="I74" s="933" t="s">
        <v>1449</v>
      </c>
      <c r="J74" s="985">
        <v>25</v>
      </c>
      <c r="K74" s="937">
        <v>51</v>
      </c>
      <c r="L74" s="933" t="s">
        <v>1449</v>
      </c>
      <c r="M74" s="986">
        <v>51</v>
      </c>
      <c r="N74" s="829"/>
      <c r="O74" s="932" t="s">
        <v>1507</v>
      </c>
      <c r="P74" s="933" t="s">
        <v>1449</v>
      </c>
      <c r="Q74" s="987" t="s">
        <v>1507</v>
      </c>
      <c r="R74" s="935" t="s">
        <v>1508</v>
      </c>
      <c r="S74" s="933" t="s">
        <v>1449</v>
      </c>
      <c r="T74" s="988" t="s">
        <v>1508</v>
      </c>
      <c r="U74" s="937">
        <v>25</v>
      </c>
      <c r="V74" s="933" t="s">
        <v>1449</v>
      </c>
      <c r="W74" s="987">
        <v>25</v>
      </c>
      <c r="X74" s="937">
        <v>51</v>
      </c>
      <c r="Y74" s="933" t="s">
        <v>1449</v>
      </c>
      <c r="Z74" s="989">
        <v>51</v>
      </c>
      <c r="AA74" s="829"/>
      <c r="AB74" s="829"/>
    </row>
    <row r="75" spans="1:28" ht="44.25">
      <c r="A75" s="829"/>
      <c r="B75" s="932" t="s">
        <v>1483</v>
      </c>
      <c r="C75" s="933" t="s">
        <v>1449</v>
      </c>
      <c r="D75" s="984" t="s">
        <v>1483</v>
      </c>
      <c r="E75" s="935" t="s">
        <v>1510</v>
      </c>
      <c r="F75" s="933" t="s">
        <v>1449</v>
      </c>
      <c r="G75" s="985" t="s">
        <v>1510</v>
      </c>
      <c r="H75" s="937">
        <v>26</v>
      </c>
      <c r="I75" s="933" t="s">
        <v>1449</v>
      </c>
      <c r="J75" s="985">
        <v>26</v>
      </c>
      <c r="K75" s="937">
        <v>52</v>
      </c>
      <c r="L75" s="933" t="s">
        <v>1449</v>
      </c>
      <c r="M75" s="986">
        <v>52</v>
      </c>
      <c r="N75" s="829"/>
      <c r="O75" s="932" t="s">
        <v>1483</v>
      </c>
      <c r="P75" s="933" t="s">
        <v>1449</v>
      </c>
      <c r="Q75" s="987" t="s">
        <v>1483</v>
      </c>
      <c r="R75" s="935" t="s">
        <v>1510</v>
      </c>
      <c r="S75" s="933" t="s">
        <v>1449</v>
      </c>
      <c r="T75" s="988" t="s">
        <v>1510</v>
      </c>
      <c r="U75" s="937">
        <v>26</v>
      </c>
      <c r="V75" s="933" t="s">
        <v>1449</v>
      </c>
      <c r="W75" s="987">
        <v>26</v>
      </c>
      <c r="X75" s="937">
        <v>52</v>
      </c>
      <c r="Y75" s="933" t="s">
        <v>1449</v>
      </c>
      <c r="Z75" s="989">
        <v>52</v>
      </c>
      <c r="AA75" s="829"/>
      <c r="AB75" s="829"/>
    </row>
    <row r="76" spans="1:28" ht="44.25">
      <c r="A76" s="829"/>
      <c r="B76" s="932" t="s">
        <v>1512</v>
      </c>
      <c r="C76" s="933" t="s">
        <v>1449</v>
      </c>
      <c r="D76" s="984" t="s">
        <v>1512</v>
      </c>
      <c r="E76" s="935" t="s">
        <v>21</v>
      </c>
      <c r="F76" s="933" t="s">
        <v>1449</v>
      </c>
      <c r="G76" s="985" t="s">
        <v>21</v>
      </c>
      <c r="H76" s="937" t="s">
        <v>1513</v>
      </c>
      <c r="I76" s="933" t="s">
        <v>1449</v>
      </c>
      <c r="J76" s="984" t="s">
        <v>1513</v>
      </c>
      <c r="K76" s="937" t="s">
        <v>1514</v>
      </c>
      <c r="L76" s="933" t="s">
        <v>1449</v>
      </c>
      <c r="M76" s="986" t="s">
        <v>1514</v>
      </c>
      <c r="N76" s="829"/>
      <c r="O76" s="932" t="s">
        <v>1512</v>
      </c>
      <c r="P76" s="933" t="s">
        <v>1449</v>
      </c>
      <c r="Q76" s="987" t="s">
        <v>1512</v>
      </c>
      <c r="R76" s="935" t="s">
        <v>21</v>
      </c>
      <c r="S76" s="933" t="s">
        <v>1449</v>
      </c>
      <c r="T76" s="988" t="s">
        <v>21</v>
      </c>
      <c r="U76" s="937" t="s">
        <v>1513</v>
      </c>
      <c r="V76" s="933" t="s">
        <v>1449</v>
      </c>
      <c r="W76" s="987" t="s">
        <v>1513</v>
      </c>
      <c r="X76" s="937" t="s">
        <v>1514</v>
      </c>
      <c r="Y76" s="933" t="s">
        <v>1449</v>
      </c>
      <c r="Z76" s="989" t="s">
        <v>1514</v>
      </c>
      <c r="AA76" s="829"/>
      <c r="AB76" s="829"/>
    </row>
    <row r="77" spans="1:28" ht="44.25">
      <c r="A77" s="829"/>
      <c r="B77" s="932" t="s">
        <v>1515</v>
      </c>
      <c r="C77" s="933" t="s">
        <v>1449</v>
      </c>
      <c r="D77" s="984" t="s">
        <v>1515</v>
      </c>
      <c r="E77" s="935" t="s">
        <v>1516</v>
      </c>
      <c r="F77" s="933" t="s">
        <v>1449</v>
      </c>
      <c r="G77" s="985" t="s">
        <v>1516</v>
      </c>
      <c r="H77" s="937" t="s">
        <v>226</v>
      </c>
      <c r="I77" s="933" t="s">
        <v>1449</v>
      </c>
      <c r="J77" s="984" t="s">
        <v>226</v>
      </c>
      <c r="K77" s="937" t="s">
        <v>1517</v>
      </c>
      <c r="L77" s="933" t="s">
        <v>1449</v>
      </c>
      <c r="M77" s="986" t="s">
        <v>1517</v>
      </c>
      <c r="N77" s="829"/>
      <c r="O77" s="932" t="s">
        <v>1515</v>
      </c>
      <c r="P77" s="933" t="s">
        <v>1449</v>
      </c>
      <c r="Q77" s="987" t="s">
        <v>1515</v>
      </c>
      <c r="R77" s="935" t="s">
        <v>1516</v>
      </c>
      <c r="S77" s="933" t="s">
        <v>1449</v>
      </c>
      <c r="T77" s="988" t="s">
        <v>1516</v>
      </c>
      <c r="U77" s="937" t="s">
        <v>226</v>
      </c>
      <c r="V77" s="933" t="s">
        <v>1449</v>
      </c>
      <c r="W77" s="987" t="s">
        <v>226</v>
      </c>
      <c r="X77" s="937" t="s">
        <v>1517</v>
      </c>
      <c r="Y77" s="933" t="s">
        <v>1449</v>
      </c>
      <c r="Z77" s="989" t="s">
        <v>1517</v>
      </c>
      <c r="AA77" s="829"/>
      <c r="AB77" s="829"/>
    </row>
    <row r="78" spans="1:28" ht="44.25">
      <c r="A78" s="829"/>
      <c r="B78" s="932" t="s">
        <v>1519</v>
      </c>
      <c r="C78" s="933" t="s">
        <v>1449</v>
      </c>
      <c r="D78" s="984" t="s">
        <v>1519</v>
      </c>
      <c r="E78" s="935" t="s">
        <v>1520</v>
      </c>
      <c r="F78" s="933" t="s">
        <v>1449</v>
      </c>
      <c r="G78" s="985" t="s">
        <v>1520</v>
      </c>
      <c r="H78" s="937" t="s">
        <v>1521</v>
      </c>
      <c r="I78" s="933" t="s">
        <v>1449</v>
      </c>
      <c r="J78" s="984" t="s">
        <v>1521</v>
      </c>
      <c r="K78" s="937" t="s">
        <v>1522</v>
      </c>
      <c r="L78" s="933" t="s">
        <v>1449</v>
      </c>
      <c r="M78" s="986" t="s">
        <v>1522</v>
      </c>
      <c r="N78" s="829"/>
      <c r="O78" s="932" t="s">
        <v>1519</v>
      </c>
      <c r="P78" s="933" t="s">
        <v>1449</v>
      </c>
      <c r="Q78" s="987" t="s">
        <v>1519</v>
      </c>
      <c r="R78" s="935" t="s">
        <v>1520</v>
      </c>
      <c r="S78" s="933" t="s">
        <v>1449</v>
      </c>
      <c r="T78" s="988" t="s">
        <v>1520</v>
      </c>
      <c r="U78" s="937" t="s">
        <v>1521</v>
      </c>
      <c r="V78" s="933" t="s">
        <v>1449</v>
      </c>
      <c r="W78" s="987" t="s">
        <v>1521</v>
      </c>
      <c r="X78" s="937" t="s">
        <v>1522</v>
      </c>
      <c r="Y78" s="933" t="s">
        <v>1449</v>
      </c>
      <c r="Z78" s="989" t="s">
        <v>1522</v>
      </c>
      <c r="AA78" s="829"/>
      <c r="AB78" s="829"/>
    </row>
    <row r="79" spans="1:28" ht="44.25">
      <c r="A79" s="829"/>
      <c r="B79" s="932" t="s">
        <v>1524</v>
      </c>
      <c r="C79" s="933" t="s">
        <v>1449</v>
      </c>
      <c r="D79" s="984" t="s">
        <v>1524</v>
      </c>
      <c r="E79" s="935" t="s">
        <v>1525</v>
      </c>
      <c r="F79" s="933" t="s">
        <v>1449</v>
      </c>
      <c r="G79" s="985" t="s">
        <v>1525</v>
      </c>
      <c r="H79" s="937" t="s">
        <v>70</v>
      </c>
      <c r="I79" s="933" t="s">
        <v>1449</v>
      </c>
      <c r="J79" s="984" t="s">
        <v>70</v>
      </c>
      <c r="K79" s="937" t="s">
        <v>2</v>
      </c>
      <c r="L79" s="933" t="s">
        <v>1449</v>
      </c>
      <c r="M79" s="986" t="s">
        <v>2</v>
      </c>
      <c r="N79" s="829"/>
      <c r="O79" s="932" t="s">
        <v>1524</v>
      </c>
      <c r="P79" s="933" t="s">
        <v>1449</v>
      </c>
      <c r="Q79" s="987" t="s">
        <v>1524</v>
      </c>
      <c r="R79" s="935" t="s">
        <v>1525</v>
      </c>
      <c r="S79" s="933" t="s">
        <v>1449</v>
      </c>
      <c r="T79" s="988" t="s">
        <v>1525</v>
      </c>
      <c r="U79" s="937" t="s">
        <v>70</v>
      </c>
      <c r="V79" s="933" t="s">
        <v>1449</v>
      </c>
      <c r="W79" s="987" t="s">
        <v>70</v>
      </c>
      <c r="X79" s="937" t="s">
        <v>2</v>
      </c>
      <c r="Y79" s="933" t="s">
        <v>1449</v>
      </c>
      <c r="Z79" s="989" t="s">
        <v>2</v>
      </c>
      <c r="AA79" s="829"/>
      <c r="AB79" s="829"/>
    </row>
    <row r="80" spans="1:28" ht="44.25">
      <c r="A80" s="829"/>
      <c r="B80" s="932" t="s">
        <v>1526</v>
      </c>
      <c r="C80" s="933" t="s">
        <v>1449</v>
      </c>
      <c r="D80" s="984" t="s">
        <v>1526</v>
      </c>
      <c r="E80" s="935" t="s">
        <v>1527</v>
      </c>
      <c r="F80" s="933" t="s">
        <v>1449</v>
      </c>
      <c r="G80" s="985" t="s">
        <v>1527</v>
      </c>
      <c r="H80" s="937" t="s">
        <v>1528</v>
      </c>
      <c r="I80" s="933" t="s">
        <v>1449</v>
      </c>
      <c r="J80" s="984" t="s">
        <v>1528</v>
      </c>
      <c r="K80" s="937" t="s">
        <v>1529</v>
      </c>
      <c r="L80" s="933" t="s">
        <v>1449</v>
      </c>
      <c r="M80" s="986" t="s">
        <v>1529</v>
      </c>
      <c r="N80" s="829"/>
      <c r="O80" s="932" t="s">
        <v>1526</v>
      </c>
      <c r="P80" s="933" t="s">
        <v>1449</v>
      </c>
      <c r="Q80" s="987" t="s">
        <v>1526</v>
      </c>
      <c r="R80" s="935" t="s">
        <v>1527</v>
      </c>
      <c r="S80" s="933" t="s">
        <v>1449</v>
      </c>
      <c r="T80" s="988" t="s">
        <v>1527</v>
      </c>
      <c r="U80" s="937" t="s">
        <v>1528</v>
      </c>
      <c r="V80" s="933" t="s">
        <v>1449</v>
      </c>
      <c r="W80" s="987" t="s">
        <v>1528</v>
      </c>
      <c r="X80" s="937" t="s">
        <v>1529</v>
      </c>
      <c r="Y80" s="933" t="s">
        <v>1449</v>
      </c>
      <c r="Z80" s="989" t="s">
        <v>1529</v>
      </c>
      <c r="AA80" s="829"/>
      <c r="AB80" s="829"/>
    </row>
    <row r="81" spans="1:28" ht="44.25">
      <c r="A81" s="829"/>
      <c r="B81" s="932" t="s">
        <v>1531</v>
      </c>
      <c r="C81" s="933" t="s">
        <v>1449</v>
      </c>
      <c r="D81" s="984" t="s">
        <v>1531</v>
      </c>
      <c r="E81" s="935" t="s">
        <v>1532</v>
      </c>
      <c r="F81" s="933" t="s">
        <v>1449</v>
      </c>
      <c r="G81" s="985" t="s">
        <v>1532</v>
      </c>
      <c r="H81" s="937" t="s">
        <v>1533</v>
      </c>
      <c r="I81" s="933" t="s">
        <v>1449</v>
      </c>
      <c r="J81" s="984" t="s">
        <v>1533</v>
      </c>
      <c r="K81" s="937" t="s">
        <v>1534</v>
      </c>
      <c r="L81" s="933" t="s">
        <v>1449</v>
      </c>
      <c r="M81" s="986" t="s">
        <v>1534</v>
      </c>
      <c r="N81" s="829"/>
      <c r="O81" s="932" t="s">
        <v>1531</v>
      </c>
      <c r="P81" s="933" t="s">
        <v>1449</v>
      </c>
      <c r="Q81" s="987" t="s">
        <v>1531</v>
      </c>
      <c r="R81" s="935" t="s">
        <v>1532</v>
      </c>
      <c r="S81" s="933" t="s">
        <v>1449</v>
      </c>
      <c r="T81" s="988" t="s">
        <v>1532</v>
      </c>
      <c r="U81" s="937" t="s">
        <v>1533</v>
      </c>
      <c r="V81" s="933" t="s">
        <v>1449</v>
      </c>
      <c r="W81" s="987" t="s">
        <v>1533</v>
      </c>
      <c r="X81" s="937" t="s">
        <v>1534</v>
      </c>
      <c r="Y81" s="933" t="s">
        <v>1449</v>
      </c>
      <c r="Z81" s="989" t="s">
        <v>1534</v>
      </c>
      <c r="AA81" s="829"/>
      <c r="AB81" s="829"/>
    </row>
    <row r="82" spans="1:28" ht="44.25">
      <c r="A82" s="829"/>
      <c r="B82" s="932" t="s">
        <v>1536</v>
      </c>
      <c r="C82" s="933" t="s">
        <v>1449</v>
      </c>
      <c r="D82" s="984" t="s">
        <v>1536</v>
      </c>
      <c r="E82" s="935" t="s">
        <v>1537</v>
      </c>
      <c r="F82" s="933" t="s">
        <v>1449</v>
      </c>
      <c r="G82" s="985" t="s">
        <v>1537</v>
      </c>
      <c r="H82" s="937" t="s">
        <v>1538</v>
      </c>
      <c r="I82" s="933" t="s">
        <v>1449</v>
      </c>
      <c r="J82" s="984" t="s">
        <v>1538</v>
      </c>
      <c r="K82" s="937" t="s">
        <v>1539</v>
      </c>
      <c r="L82" s="933" t="s">
        <v>1449</v>
      </c>
      <c r="M82" s="986" t="s">
        <v>1539</v>
      </c>
      <c r="N82" s="829"/>
      <c r="O82" s="932" t="s">
        <v>1536</v>
      </c>
      <c r="P82" s="933" t="s">
        <v>1449</v>
      </c>
      <c r="Q82" s="987" t="s">
        <v>1536</v>
      </c>
      <c r="R82" s="935" t="s">
        <v>1537</v>
      </c>
      <c r="S82" s="933" t="s">
        <v>1449</v>
      </c>
      <c r="T82" s="988" t="s">
        <v>1537</v>
      </c>
      <c r="U82" s="937" t="s">
        <v>1538</v>
      </c>
      <c r="V82" s="933" t="s">
        <v>1449</v>
      </c>
      <c r="W82" s="987" t="s">
        <v>1538</v>
      </c>
      <c r="X82" s="937" t="s">
        <v>1539</v>
      </c>
      <c r="Y82" s="933" t="s">
        <v>1449</v>
      </c>
      <c r="Z82" s="989" t="s">
        <v>1539</v>
      </c>
      <c r="AA82" s="829"/>
      <c r="AB82" s="829"/>
    </row>
    <row r="83" spans="1:28" ht="44.25">
      <c r="A83" s="829"/>
      <c r="B83" s="932" t="s">
        <v>1540</v>
      </c>
      <c r="C83" s="933" t="s">
        <v>1449</v>
      </c>
      <c r="D83" s="984" t="s">
        <v>1540</v>
      </c>
      <c r="E83" s="935" t="s">
        <v>1541</v>
      </c>
      <c r="F83" s="933" t="s">
        <v>1449</v>
      </c>
      <c r="G83" s="985" t="s">
        <v>1541</v>
      </c>
      <c r="H83" s="937" t="s">
        <v>1542</v>
      </c>
      <c r="I83" s="933" t="s">
        <v>1449</v>
      </c>
      <c r="J83" s="984" t="s">
        <v>1542</v>
      </c>
      <c r="K83" s="937" t="s">
        <v>44</v>
      </c>
      <c r="L83" s="933" t="s">
        <v>1449</v>
      </c>
      <c r="M83" s="986" t="s">
        <v>44</v>
      </c>
      <c r="N83" s="829"/>
      <c r="O83" s="932" t="s">
        <v>1540</v>
      </c>
      <c r="P83" s="933" t="s">
        <v>1449</v>
      </c>
      <c r="Q83" s="987" t="s">
        <v>1540</v>
      </c>
      <c r="R83" s="935" t="s">
        <v>1541</v>
      </c>
      <c r="S83" s="933" t="s">
        <v>1449</v>
      </c>
      <c r="T83" s="988" t="s">
        <v>1541</v>
      </c>
      <c r="U83" s="937" t="s">
        <v>1542</v>
      </c>
      <c r="V83" s="933" t="s">
        <v>1449</v>
      </c>
      <c r="W83" s="987" t="s">
        <v>1542</v>
      </c>
      <c r="X83" s="937" t="s">
        <v>44</v>
      </c>
      <c r="Y83" s="933" t="s">
        <v>1449</v>
      </c>
      <c r="Z83" s="989" t="s">
        <v>44</v>
      </c>
      <c r="AA83" s="829"/>
      <c r="AB83" s="829"/>
    </row>
    <row r="84" spans="1:28" ht="44.25">
      <c r="A84" s="829"/>
      <c r="B84" s="932"/>
      <c r="C84" s="933" t="s">
        <v>1449</v>
      </c>
      <c r="D84" s="984"/>
      <c r="E84" s="935" t="s">
        <v>1544</v>
      </c>
      <c r="F84" s="933" t="s">
        <v>1449</v>
      </c>
      <c r="G84" s="985" t="s">
        <v>1544</v>
      </c>
      <c r="H84" s="937" t="s">
        <v>1545</v>
      </c>
      <c r="I84" s="933" t="s">
        <v>1449</v>
      </c>
      <c r="J84" s="984" t="s">
        <v>1545</v>
      </c>
      <c r="K84" s="937"/>
      <c r="L84" s="933" t="s">
        <v>1449</v>
      </c>
      <c r="M84" s="986"/>
      <c r="N84" s="829"/>
      <c r="O84" s="932"/>
      <c r="P84" s="933" t="s">
        <v>1449</v>
      </c>
      <c r="Q84" s="987"/>
      <c r="R84" s="935" t="s">
        <v>1544</v>
      </c>
      <c r="S84" s="933" t="s">
        <v>1449</v>
      </c>
      <c r="T84" s="988" t="s">
        <v>1544</v>
      </c>
      <c r="U84" s="937" t="s">
        <v>1545</v>
      </c>
      <c r="V84" s="933" t="s">
        <v>1449</v>
      </c>
      <c r="W84" s="987" t="s">
        <v>1545</v>
      </c>
      <c r="X84" s="937"/>
      <c r="Y84" s="933" t="s">
        <v>1449</v>
      </c>
      <c r="Z84" s="989"/>
      <c r="AA84" s="829"/>
      <c r="AB84" s="829"/>
    </row>
    <row r="85" spans="1:28" ht="15">
      <c r="A85" s="830"/>
      <c r="B85" s="990"/>
      <c r="C85" s="991"/>
      <c r="D85" s="991"/>
      <c r="E85" s="991"/>
      <c r="F85" s="991"/>
      <c r="G85" s="991"/>
      <c r="H85" s="991"/>
      <c r="I85" s="991"/>
      <c r="J85" s="991"/>
      <c r="K85" s="991"/>
      <c r="L85" s="991"/>
      <c r="M85" s="992"/>
      <c r="N85" s="993"/>
      <c r="O85" s="990"/>
      <c r="P85" s="991"/>
      <c r="Q85" s="991"/>
      <c r="R85" s="991"/>
      <c r="S85" s="991"/>
      <c r="T85" s="991"/>
      <c r="U85" s="991"/>
      <c r="V85" s="991"/>
      <c r="W85" s="991"/>
      <c r="X85" s="991"/>
      <c r="Y85" s="991"/>
      <c r="Z85" s="992"/>
      <c r="AA85" s="993"/>
      <c r="AB85" s="830"/>
    </row>
    <row r="88" spans="1:28" ht="30">
      <c r="B88" s="909" t="s">
        <v>1445</v>
      </c>
      <c r="C88" s="910"/>
      <c r="D88" s="911" t="s">
        <v>1446</v>
      </c>
      <c r="E88" s="994" t="s">
        <v>1552</v>
      </c>
      <c r="F88" s="995"/>
      <c r="G88" s="995"/>
      <c r="H88" s="995"/>
      <c r="I88" s="995"/>
      <c r="J88" s="995"/>
      <c r="K88" s="995"/>
      <c r="L88" s="995"/>
      <c r="M88" s="996"/>
      <c r="O88" s="909" t="s">
        <v>1445</v>
      </c>
      <c r="P88" s="910"/>
      <c r="Q88" s="911" t="s">
        <v>1446</v>
      </c>
      <c r="R88" s="912" t="s">
        <v>1553</v>
      </c>
      <c r="S88" s="913"/>
      <c r="T88" s="913"/>
      <c r="U88" s="913"/>
      <c r="V88" s="913"/>
      <c r="W88" s="913"/>
      <c r="X88" s="913"/>
      <c r="Y88" s="913"/>
      <c r="Z88" s="914"/>
    </row>
    <row r="89" spans="1:28" ht="30">
      <c r="B89" s="918" t="s">
        <v>1451</v>
      </c>
      <c r="C89" s="919" t="s">
        <v>1449</v>
      </c>
      <c r="D89" s="997" t="str">
        <f>B89</f>
        <v>Aa</v>
      </c>
      <c r="E89" s="1025" t="s">
        <v>1450</v>
      </c>
      <c r="F89" s="998"/>
      <c r="G89" s="999"/>
      <c r="H89" s="999"/>
      <c r="I89" s="999"/>
      <c r="J89" s="999"/>
      <c r="K89" s="999"/>
      <c r="L89" s="999"/>
      <c r="M89" s="1000"/>
      <c r="O89" s="918" t="s">
        <v>1451</v>
      </c>
      <c r="P89" s="919" t="s">
        <v>1449</v>
      </c>
      <c r="Q89" s="1001" t="str">
        <f>O89</f>
        <v>Aa</v>
      </c>
      <c r="R89" s="980" t="s">
        <v>1556</v>
      </c>
      <c r="S89" s="998"/>
      <c r="T89" s="999"/>
      <c r="U89" s="999"/>
      <c r="V89" s="999"/>
      <c r="W89" s="999"/>
      <c r="X89" s="999"/>
      <c r="Y89" s="999"/>
      <c r="Z89" s="1000"/>
    </row>
    <row r="90" spans="1:28">
      <c r="B90" s="927"/>
      <c r="C90" s="928"/>
      <c r="D90" s="928"/>
      <c r="E90" s="928"/>
      <c r="F90" s="928"/>
      <c r="G90" s="928"/>
      <c r="H90" s="928"/>
      <c r="I90" s="928"/>
      <c r="J90" s="928"/>
      <c r="K90" s="928"/>
      <c r="L90" s="928"/>
      <c r="M90" s="929"/>
      <c r="O90" s="927"/>
      <c r="P90" s="928"/>
      <c r="Q90" s="928"/>
      <c r="R90" s="928"/>
      <c r="S90" s="928"/>
      <c r="T90" s="928"/>
      <c r="U90" s="928"/>
      <c r="V90" s="928"/>
      <c r="W90" s="928"/>
      <c r="X90" s="928"/>
      <c r="Y90" s="928"/>
      <c r="Z90" s="929"/>
    </row>
    <row r="91" spans="1:28">
      <c r="B91" s="930" t="s">
        <v>1452</v>
      </c>
      <c r="C91" s="3363" t="s">
        <v>1453</v>
      </c>
      <c r="D91" s="3364"/>
      <c r="E91" s="931" t="s">
        <v>1454</v>
      </c>
      <c r="F91" s="3363" t="s">
        <v>1453</v>
      </c>
      <c r="G91" s="3364"/>
      <c r="H91" s="931" t="s">
        <v>1455</v>
      </c>
      <c r="I91" s="3363" t="s">
        <v>1453</v>
      </c>
      <c r="J91" s="3364"/>
      <c r="K91" s="931" t="s">
        <v>1456</v>
      </c>
      <c r="L91" s="3363" t="s">
        <v>1453</v>
      </c>
      <c r="M91" s="3365"/>
      <c r="O91" s="930" t="s">
        <v>1452</v>
      </c>
      <c r="P91" s="3366" t="s">
        <v>1453</v>
      </c>
      <c r="Q91" s="3367"/>
      <c r="R91" s="931" t="s">
        <v>1454</v>
      </c>
      <c r="S91" s="3366" t="s">
        <v>1453</v>
      </c>
      <c r="T91" s="3367"/>
      <c r="U91" s="931" t="s">
        <v>1455</v>
      </c>
      <c r="V91" s="3366" t="s">
        <v>1453</v>
      </c>
      <c r="W91" s="3367"/>
      <c r="X91" s="931" t="s">
        <v>1456</v>
      </c>
      <c r="Y91" s="3366" t="s">
        <v>1453</v>
      </c>
      <c r="Z91" s="3368"/>
    </row>
    <row r="92" spans="1:28" ht="44.25">
      <c r="A92" s="829"/>
      <c r="B92" s="932" t="s">
        <v>351</v>
      </c>
      <c r="C92" s="933" t="s">
        <v>1449</v>
      </c>
      <c r="D92" s="1002" t="s">
        <v>351</v>
      </c>
      <c r="E92" s="935" t="s">
        <v>1457</v>
      </c>
      <c r="F92" s="933" t="s">
        <v>1449</v>
      </c>
      <c r="G92" s="1003" t="s">
        <v>1457</v>
      </c>
      <c r="H92" s="937">
        <v>1</v>
      </c>
      <c r="I92" s="933" t="s">
        <v>1449</v>
      </c>
      <c r="J92" s="1002">
        <v>1</v>
      </c>
      <c r="K92" s="937">
        <v>27</v>
      </c>
      <c r="L92" s="933" t="s">
        <v>1449</v>
      </c>
      <c r="M92" s="1004">
        <v>27</v>
      </c>
      <c r="N92" s="829"/>
      <c r="O92" s="932" t="s">
        <v>351</v>
      </c>
      <c r="P92" s="933" t="s">
        <v>1449</v>
      </c>
      <c r="Q92" s="1005" t="s">
        <v>351</v>
      </c>
      <c r="R92" s="935" t="s">
        <v>1457</v>
      </c>
      <c r="S92" s="933" t="s">
        <v>1449</v>
      </c>
      <c r="T92" s="1006" t="s">
        <v>1457</v>
      </c>
      <c r="U92" s="937">
        <v>1</v>
      </c>
      <c r="V92" s="933" t="s">
        <v>1449</v>
      </c>
      <c r="W92" s="1005">
        <v>1</v>
      </c>
      <c r="X92" s="937">
        <v>27</v>
      </c>
      <c r="Y92" s="933" t="s">
        <v>1449</v>
      </c>
      <c r="Z92" s="1007">
        <v>27</v>
      </c>
      <c r="AA92" s="829"/>
      <c r="AB92" s="829"/>
    </row>
    <row r="93" spans="1:28" ht="44.25">
      <c r="A93" s="829"/>
      <c r="B93" s="932" t="s">
        <v>353</v>
      </c>
      <c r="C93" s="933" t="s">
        <v>1449</v>
      </c>
      <c r="D93" s="1002" t="s">
        <v>353</v>
      </c>
      <c r="E93" s="935" t="s">
        <v>1460</v>
      </c>
      <c r="F93" s="933" t="s">
        <v>1449</v>
      </c>
      <c r="G93" s="1003" t="s">
        <v>1460</v>
      </c>
      <c r="H93" s="937">
        <v>2</v>
      </c>
      <c r="I93" s="933" t="s">
        <v>1449</v>
      </c>
      <c r="J93" s="1002">
        <v>2</v>
      </c>
      <c r="K93" s="937">
        <v>28</v>
      </c>
      <c r="L93" s="933" t="s">
        <v>1449</v>
      </c>
      <c r="M93" s="1004">
        <v>28</v>
      </c>
      <c r="N93" s="829"/>
      <c r="O93" s="932" t="s">
        <v>353</v>
      </c>
      <c r="P93" s="933" t="s">
        <v>1449</v>
      </c>
      <c r="Q93" s="1005" t="s">
        <v>353</v>
      </c>
      <c r="R93" s="935" t="s">
        <v>1460</v>
      </c>
      <c r="S93" s="933" t="s">
        <v>1449</v>
      </c>
      <c r="T93" s="1006" t="s">
        <v>1460</v>
      </c>
      <c r="U93" s="937">
        <v>2</v>
      </c>
      <c r="V93" s="933" t="s">
        <v>1449</v>
      </c>
      <c r="W93" s="1005">
        <v>2</v>
      </c>
      <c r="X93" s="937">
        <v>28</v>
      </c>
      <c r="Y93" s="933" t="s">
        <v>1449</v>
      </c>
      <c r="Z93" s="1007">
        <v>28</v>
      </c>
      <c r="AA93" s="829"/>
      <c r="AB93" s="829"/>
    </row>
    <row r="94" spans="1:28" ht="44.25">
      <c r="A94" s="829"/>
      <c r="B94" s="932" t="s">
        <v>352</v>
      </c>
      <c r="C94" s="933" t="s">
        <v>1449</v>
      </c>
      <c r="D94" s="1002" t="s">
        <v>352</v>
      </c>
      <c r="E94" s="935" t="s">
        <v>1464</v>
      </c>
      <c r="F94" s="933" t="s">
        <v>1449</v>
      </c>
      <c r="G94" s="1003" t="s">
        <v>1464</v>
      </c>
      <c r="H94" s="937">
        <v>3</v>
      </c>
      <c r="I94" s="933" t="s">
        <v>1449</v>
      </c>
      <c r="J94" s="1002">
        <v>3</v>
      </c>
      <c r="K94" s="937">
        <v>29</v>
      </c>
      <c r="L94" s="933" t="s">
        <v>1449</v>
      </c>
      <c r="M94" s="1004">
        <v>29</v>
      </c>
      <c r="N94" s="829"/>
      <c r="O94" s="932" t="s">
        <v>352</v>
      </c>
      <c r="P94" s="933" t="s">
        <v>1449</v>
      </c>
      <c r="Q94" s="1005" t="s">
        <v>352</v>
      </c>
      <c r="R94" s="935" t="s">
        <v>1464</v>
      </c>
      <c r="S94" s="933" t="s">
        <v>1449</v>
      </c>
      <c r="T94" s="1006" t="s">
        <v>1464</v>
      </c>
      <c r="U94" s="937">
        <v>3</v>
      </c>
      <c r="V94" s="933" t="s">
        <v>1449</v>
      </c>
      <c r="W94" s="1005">
        <v>3</v>
      </c>
      <c r="X94" s="937">
        <v>29</v>
      </c>
      <c r="Y94" s="933" t="s">
        <v>1449</v>
      </c>
      <c r="Z94" s="1007">
        <v>29</v>
      </c>
      <c r="AA94" s="829"/>
      <c r="AB94" s="829"/>
    </row>
    <row r="95" spans="1:28" ht="44.25">
      <c r="A95" s="829"/>
      <c r="B95" s="932" t="s">
        <v>356</v>
      </c>
      <c r="C95" s="933" t="s">
        <v>1449</v>
      </c>
      <c r="D95" s="1002" t="s">
        <v>356</v>
      </c>
      <c r="E95" s="935" t="s">
        <v>1467</v>
      </c>
      <c r="F95" s="933" t="s">
        <v>1449</v>
      </c>
      <c r="G95" s="1003" t="s">
        <v>1467</v>
      </c>
      <c r="H95" s="937">
        <v>4</v>
      </c>
      <c r="I95" s="933" t="s">
        <v>1449</v>
      </c>
      <c r="J95" s="1002">
        <v>4</v>
      </c>
      <c r="K95" s="937">
        <v>30</v>
      </c>
      <c r="L95" s="933" t="s">
        <v>1449</v>
      </c>
      <c r="M95" s="1004">
        <v>30</v>
      </c>
      <c r="N95" s="829"/>
      <c r="O95" s="932" t="s">
        <v>356</v>
      </c>
      <c r="P95" s="933" t="s">
        <v>1449</v>
      </c>
      <c r="Q95" s="1005" t="s">
        <v>356</v>
      </c>
      <c r="R95" s="935" t="s">
        <v>1467</v>
      </c>
      <c r="S95" s="933" t="s">
        <v>1449</v>
      </c>
      <c r="T95" s="1006" t="s">
        <v>1467</v>
      </c>
      <c r="U95" s="937">
        <v>4</v>
      </c>
      <c r="V95" s="933" t="s">
        <v>1449</v>
      </c>
      <c r="W95" s="1005">
        <v>4</v>
      </c>
      <c r="X95" s="937">
        <v>30</v>
      </c>
      <c r="Y95" s="933" t="s">
        <v>1449</v>
      </c>
      <c r="Z95" s="1007">
        <v>30</v>
      </c>
      <c r="AA95" s="829"/>
      <c r="AB95" s="829"/>
    </row>
    <row r="96" spans="1:28" ht="44.25">
      <c r="A96" s="829"/>
      <c r="B96" s="932" t="s">
        <v>961</v>
      </c>
      <c r="C96" s="933" t="s">
        <v>1449</v>
      </c>
      <c r="D96" s="1002" t="s">
        <v>961</v>
      </c>
      <c r="E96" s="935" t="s">
        <v>1470</v>
      </c>
      <c r="F96" s="933" t="s">
        <v>1449</v>
      </c>
      <c r="G96" s="1003" t="s">
        <v>1470</v>
      </c>
      <c r="H96" s="937">
        <v>5</v>
      </c>
      <c r="I96" s="933" t="s">
        <v>1449</v>
      </c>
      <c r="J96" s="1002">
        <v>5</v>
      </c>
      <c r="K96" s="937">
        <v>31</v>
      </c>
      <c r="L96" s="933" t="s">
        <v>1449</v>
      </c>
      <c r="M96" s="1004">
        <v>31</v>
      </c>
      <c r="N96" s="829"/>
      <c r="O96" s="932" t="s">
        <v>961</v>
      </c>
      <c r="P96" s="933" t="s">
        <v>1449</v>
      </c>
      <c r="Q96" s="1005" t="s">
        <v>961</v>
      </c>
      <c r="R96" s="935" t="s">
        <v>1470</v>
      </c>
      <c r="S96" s="933" t="s">
        <v>1449</v>
      </c>
      <c r="T96" s="1006" t="s">
        <v>1470</v>
      </c>
      <c r="U96" s="937">
        <v>5</v>
      </c>
      <c r="V96" s="933" t="s">
        <v>1449</v>
      </c>
      <c r="W96" s="1005">
        <v>5</v>
      </c>
      <c r="X96" s="937">
        <v>31</v>
      </c>
      <c r="Y96" s="933" t="s">
        <v>1449</v>
      </c>
      <c r="Z96" s="1007">
        <v>31</v>
      </c>
      <c r="AA96" s="829"/>
      <c r="AB96" s="829"/>
    </row>
    <row r="97" spans="1:28" ht="44.25">
      <c r="A97" s="829"/>
      <c r="B97" s="932" t="s">
        <v>357</v>
      </c>
      <c r="C97" s="933" t="s">
        <v>1449</v>
      </c>
      <c r="D97" s="1002" t="s">
        <v>357</v>
      </c>
      <c r="E97" s="935" t="s">
        <v>1478</v>
      </c>
      <c r="F97" s="933" t="s">
        <v>1449</v>
      </c>
      <c r="G97" s="1003" t="s">
        <v>1478</v>
      </c>
      <c r="H97" s="937">
        <v>6</v>
      </c>
      <c r="I97" s="933" t="s">
        <v>1449</v>
      </c>
      <c r="J97" s="1002">
        <v>6</v>
      </c>
      <c r="K97" s="937">
        <v>32</v>
      </c>
      <c r="L97" s="933" t="s">
        <v>1449</v>
      </c>
      <c r="M97" s="1004">
        <v>32</v>
      </c>
      <c r="N97" s="829"/>
      <c r="O97" s="932" t="s">
        <v>357</v>
      </c>
      <c r="P97" s="933" t="s">
        <v>1449</v>
      </c>
      <c r="Q97" s="1005" t="s">
        <v>357</v>
      </c>
      <c r="R97" s="935" t="s">
        <v>1478</v>
      </c>
      <c r="S97" s="933" t="s">
        <v>1449</v>
      </c>
      <c r="T97" s="1006" t="s">
        <v>1478</v>
      </c>
      <c r="U97" s="937">
        <v>6</v>
      </c>
      <c r="V97" s="933" t="s">
        <v>1449</v>
      </c>
      <c r="W97" s="1005">
        <v>6</v>
      </c>
      <c r="X97" s="937">
        <v>32</v>
      </c>
      <c r="Y97" s="933" t="s">
        <v>1449</v>
      </c>
      <c r="Z97" s="1007">
        <v>32</v>
      </c>
      <c r="AA97" s="829"/>
      <c r="AB97" s="829"/>
    </row>
    <row r="98" spans="1:28" ht="44.25">
      <c r="A98" s="829"/>
      <c r="B98" s="932" t="s">
        <v>825</v>
      </c>
      <c r="C98" s="933" t="s">
        <v>1449</v>
      </c>
      <c r="D98" s="1002" t="s">
        <v>825</v>
      </c>
      <c r="E98" s="935" t="s">
        <v>1482</v>
      </c>
      <c r="F98" s="933" t="s">
        <v>1449</v>
      </c>
      <c r="G98" s="1003" t="s">
        <v>1482</v>
      </c>
      <c r="H98" s="937">
        <v>7</v>
      </c>
      <c r="I98" s="933" t="s">
        <v>1449</v>
      </c>
      <c r="J98" s="1002">
        <v>7</v>
      </c>
      <c r="K98" s="937">
        <v>33</v>
      </c>
      <c r="L98" s="933" t="s">
        <v>1449</v>
      </c>
      <c r="M98" s="1004">
        <v>33</v>
      </c>
      <c r="N98" s="829"/>
      <c r="O98" s="932" t="s">
        <v>825</v>
      </c>
      <c r="P98" s="933" t="s">
        <v>1449</v>
      </c>
      <c r="Q98" s="1005" t="s">
        <v>825</v>
      </c>
      <c r="R98" s="935" t="s">
        <v>1482</v>
      </c>
      <c r="S98" s="933" t="s">
        <v>1449</v>
      </c>
      <c r="T98" s="1006" t="s">
        <v>1482</v>
      </c>
      <c r="U98" s="937">
        <v>7</v>
      </c>
      <c r="V98" s="933" t="s">
        <v>1449</v>
      </c>
      <c r="W98" s="1005">
        <v>7</v>
      </c>
      <c r="X98" s="937">
        <v>33</v>
      </c>
      <c r="Y98" s="933" t="s">
        <v>1449</v>
      </c>
      <c r="Z98" s="1007">
        <v>33</v>
      </c>
      <c r="AA98" s="829"/>
      <c r="AB98" s="829"/>
    </row>
    <row r="99" spans="1:28" ht="44.25">
      <c r="A99" s="829"/>
      <c r="B99" s="932" t="s">
        <v>1485</v>
      </c>
      <c r="C99" s="933" t="s">
        <v>1449</v>
      </c>
      <c r="D99" s="1002" t="s">
        <v>1485</v>
      </c>
      <c r="E99" s="935" t="s">
        <v>1486</v>
      </c>
      <c r="F99" s="933" t="s">
        <v>1449</v>
      </c>
      <c r="G99" s="1003" t="s">
        <v>1486</v>
      </c>
      <c r="H99" s="937">
        <v>8</v>
      </c>
      <c r="I99" s="933" t="s">
        <v>1449</v>
      </c>
      <c r="J99" s="1002">
        <v>8</v>
      </c>
      <c r="K99" s="937">
        <v>34</v>
      </c>
      <c r="L99" s="933" t="s">
        <v>1449</v>
      </c>
      <c r="M99" s="1004">
        <v>34</v>
      </c>
      <c r="N99" s="829"/>
      <c r="O99" s="932" t="s">
        <v>1485</v>
      </c>
      <c r="P99" s="933" t="s">
        <v>1449</v>
      </c>
      <c r="Q99" s="1005" t="s">
        <v>1485</v>
      </c>
      <c r="R99" s="935" t="s">
        <v>1486</v>
      </c>
      <c r="S99" s="933" t="s">
        <v>1449</v>
      </c>
      <c r="T99" s="1006" t="s">
        <v>1486</v>
      </c>
      <c r="U99" s="937">
        <v>8</v>
      </c>
      <c r="V99" s="933" t="s">
        <v>1449</v>
      </c>
      <c r="W99" s="1005">
        <v>8</v>
      </c>
      <c r="X99" s="937">
        <v>34</v>
      </c>
      <c r="Y99" s="933" t="s">
        <v>1449</v>
      </c>
      <c r="Z99" s="1007">
        <v>34</v>
      </c>
      <c r="AA99" s="829"/>
      <c r="AB99" s="829"/>
    </row>
    <row r="100" spans="1:28" ht="44.25">
      <c r="A100" s="829"/>
      <c r="B100" s="932" t="s">
        <v>360</v>
      </c>
      <c r="C100" s="933" t="s">
        <v>1449</v>
      </c>
      <c r="D100" s="1002" t="s">
        <v>360</v>
      </c>
      <c r="E100" s="935" t="s">
        <v>1489</v>
      </c>
      <c r="F100" s="933" t="s">
        <v>1449</v>
      </c>
      <c r="G100" s="1003" t="s">
        <v>1489</v>
      </c>
      <c r="H100" s="937">
        <v>9</v>
      </c>
      <c r="I100" s="933" t="s">
        <v>1449</v>
      </c>
      <c r="J100" s="1002">
        <v>9</v>
      </c>
      <c r="K100" s="937">
        <v>35</v>
      </c>
      <c r="L100" s="933" t="s">
        <v>1449</v>
      </c>
      <c r="M100" s="1004">
        <v>35</v>
      </c>
      <c r="N100" s="829"/>
      <c r="O100" s="932" t="s">
        <v>360</v>
      </c>
      <c r="P100" s="933" t="s">
        <v>1449</v>
      </c>
      <c r="Q100" s="1005" t="s">
        <v>360</v>
      </c>
      <c r="R100" s="935" t="s">
        <v>1489</v>
      </c>
      <c r="S100" s="933" t="s">
        <v>1449</v>
      </c>
      <c r="T100" s="1006" t="s">
        <v>1489</v>
      </c>
      <c r="U100" s="937">
        <v>9</v>
      </c>
      <c r="V100" s="933" t="s">
        <v>1449</v>
      </c>
      <c r="W100" s="1005">
        <v>9</v>
      </c>
      <c r="X100" s="937">
        <v>35</v>
      </c>
      <c r="Y100" s="933" t="s">
        <v>1449</v>
      </c>
      <c r="Z100" s="1007">
        <v>35</v>
      </c>
      <c r="AA100" s="829"/>
      <c r="AB100" s="829"/>
    </row>
    <row r="101" spans="1:28" ht="44.25">
      <c r="A101" s="829"/>
      <c r="B101" s="932" t="s">
        <v>363</v>
      </c>
      <c r="C101" s="933" t="s">
        <v>1449</v>
      </c>
      <c r="D101" s="1002" t="s">
        <v>363</v>
      </c>
      <c r="E101" s="935" t="s">
        <v>1491</v>
      </c>
      <c r="F101" s="933" t="s">
        <v>1449</v>
      </c>
      <c r="G101" s="1003" t="s">
        <v>1491</v>
      </c>
      <c r="H101" s="937">
        <v>10</v>
      </c>
      <c r="I101" s="933" t="s">
        <v>1449</v>
      </c>
      <c r="J101" s="1002">
        <v>10</v>
      </c>
      <c r="K101" s="937">
        <v>36</v>
      </c>
      <c r="L101" s="933" t="s">
        <v>1449</v>
      </c>
      <c r="M101" s="1004">
        <v>36</v>
      </c>
      <c r="N101" s="829"/>
      <c r="O101" s="932" t="s">
        <v>363</v>
      </c>
      <c r="P101" s="933" t="s">
        <v>1449</v>
      </c>
      <c r="Q101" s="1005" t="s">
        <v>363</v>
      </c>
      <c r="R101" s="935" t="s">
        <v>1491</v>
      </c>
      <c r="S101" s="933" t="s">
        <v>1449</v>
      </c>
      <c r="T101" s="1006" t="s">
        <v>1491</v>
      </c>
      <c r="U101" s="937">
        <v>10</v>
      </c>
      <c r="V101" s="933" t="s">
        <v>1449</v>
      </c>
      <c r="W101" s="1005">
        <v>10</v>
      </c>
      <c r="X101" s="937">
        <v>36</v>
      </c>
      <c r="Y101" s="933" t="s">
        <v>1449</v>
      </c>
      <c r="Z101" s="1007">
        <v>36</v>
      </c>
      <c r="AA101" s="829"/>
      <c r="AB101" s="829"/>
    </row>
    <row r="102" spans="1:28" ht="44.25">
      <c r="A102" s="829"/>
      <c r="B102" s="932" t="s">
        <v>365</v>
      </c>
      <c r="C102" s="933" t="s">
        <v>1449</v>
      </c>
      <c r="D102" s="1002" t="s">
        <v>365</v>
      </c>
      <c r="E102" s="935" t="s">
        <v>1492</v>
      </c>
      <c r="F102" s="933" t="s">
        <v>1449</v>
      </c>
      <c r="G102" s="1003" t="s">
        <v>1492</v>
      </c>
      <c r="H102" s="937">
        <v>11</v>
      </c>
      <c r="I102" s="933" t="s">
        <v>1449</v>
      </c>
      <c r="J102" s="1002">
        <v>11</v>
      </c>
      <c r="K102" s="937">
        <v>37</v>
      </c>
      <c r="L102" s="933" t="s">
        <v>1449</v>
      </c>
      <c r="M102" s="1004">
        <v>37</v>
      </c>
      <c r="N102" s="829"/>
      <c r="O102" s="932" t="s">
        <v>365</v>
      </c>
      <c r="P102" s="933" t="s">
        <v>1449</v>
      </c>
      <c r="Q102" s="1005" t="s">
        <v>365</v>
      </c>
      <c r="R102" s="935" t="s">
        <v>1492</v>
      </c>
      <c r="S102" s="933" t="s">
        <v>1449</v>
      </c>
      <c r="T102" s="1006" t="s">
        <v>1492</v>
      </c>
      <c r="U102" s="937">
        <v>11</v>
      </c>
      <c r="V102" s="933" t="s">
        <v>1449</v>
      </c>
      <c r="W102" s="1005">
        <v>11</v>
      </c>
      <c r="X102" s="937">
        <v>37</v>
      </c>
      <c r="Y102" s="933" t="s">
        <v>1449</v>
      </c>
      <c r="Z102" s="1007">
        <v>37</v>
      </c>
      <c r="AA102" s="829"/>
      <c r="AB102" s="829"/>
    </row>
    <row r="103" spans="1:28" ht="44.25">
      <c r="A103" s="829"/>
      <c r="B103" s="932" t="s">
        <v>36</v>
      </c>
      <c r="C103" s="933" t="s">
        <v>1449</v>
      </c>
      <c r="D103" s="1002" t="s">
        <v>36</v>
      </c>
      <c r="E103" s="935" t="s">
        <v>1493</v>
      </c>
      <c r="F103" s="933" t="s">
        <v>1449</v>
      </c>
      <c r="G103" s="1003" t="s">
        <v>1493</v>
      </c>
      <c r="H103" s="937">
        <v>12</v>
      </c>
      <c r="I103" s="933" t="s">
        <v>1449</v>
      </c>
      <c r="J103" s="1002">
        <v>12</v>
      </c>
      <c r="K103" s="937">
        <v>38</v>
      </c>
      <c r="L103" s="933" t="s">
        <v>1449</v>
      </c>
      <c r="M103" s="1004">
        <v>38</v>
      </c>
      <c r="N103" s="829"/>
      <c r="O103" s="932" t="s">
        <v>36</v>
      </c>
      <c r="P103" s="933" t="s">
        <v>1449</v>
      </c>
      <c r="Q103" s="1005" t="s">
        <v>36</v>
      </c>
      <c r="R103" s="935" t="s">
        <v>1493</v>
      </c>
      <c r="S103" s="933" t="s">
        <v>1449</v>
      </c>
      <c r="T103" s="1006" t="s">
        <v>1493</v>
      </c>
      <c r="U103" s="937">
        <v>12</v>
      </c>
      <c r="V103" s="933" t="s">
        <v>1449</v>
      </c>
      <c r="W103" s="1005">
        <v>12</v>
      </c>
      <c r="X103" s="937">
        <v>38</v>
      </c>
      <c r="Y103" s="933" t="s">
        <v>1449</v>
      </c>
      <c r="Z103" s="1007">
        <v>38</v>
      </c>
      <c r="AA103" s="829"/>
      <c r="AB103" s="829"/>
    </row>
    <row r="104" spans="1:28" ht="44.25">
      <c r="A104" s="829"/>
      <c r="B104" s="932" t="s">
        <v>847</v>
      </c>
      <c r="C104" s="933" t="s">
        <v>1449</v>
      </c>
      <c r="D104" s="1002" t="s">
        <v>847</v>
      </c>
      <c r="E104" s="935" t="s">
        <v>1495</v>
      </c>
      <c r="F104" s="933" t="s">
        <v>1449</v>
      </c>
      <c r="G104" s="1003" t="s">
        <v>1495</v>
      </c>
      <c r="H104" s="937">
        <v>13</v>
      </c>
      <c r="I104" s="933" t="s">
        <v>1449</v>
      </c>
      <c r="J104" s="1002">
        <v>13</v>
      </c>
      <c r="K104" s="937">
        <v>39</v>
      </c>
      <c r="L104" s="933" t="s">
        <v>1449</v>
      </c>
      <c r="M104" s="1004">
        <v>39</v>
      </c>
      <c r="N104" s="829"/>
      <c r="O104" s="932" t="s">
        <v>847</v>
      </c>
      <c r="P104" s="933" t="s">
        <v>1449</v>
      </c>
      <c r="Q104" s="1005" t="s">
        <v>847</v>
      </c>
      <c r="R104" s="935" t="s">
        <v>1495</v>
      </c>
      <c r="S104" s="933" t="s">
        <v>1449</v>
      </c>
      <c r="T104" s="1006" t="s">
        <v>1495</v>
      </c>
      <c r="U104" s="937">
        <v>13</v>
      </c>
      <c r="V104" s="933" t="s">
        <v>1449</v>
      </c>
      <c r="W104" s="1005">
        <v>13</v>
      </c>
      <c r="X104" s="937">
        <v>39</v>
      </c>
      <c r="Y104" s="933" t="s">
        <v>1449</v>
      </c>
      <c r="Z104" s="1007">
        <v>39</v>
      </c>
      <c r="AA104" s="829"/>
      <c r="AB104" s="829"/>
    </row>
    <row r="105" spans="1:28" ht="44.25">
      <c r="A105" s="829"/>
      <c r="B105" s="932" t="s">
        <v>885</v>
      </c>
      <c r="C105" s="933" t="s">
        <v>1449</v>
      </c>
      <c r="D105" s="1002" t="s">
        <v>885</v>
      </c>
      <c r="E105" s="935" t="s">
        <v>1496</v>
      </c>
      <c r="F105" s="933" t="s">
        <v>1449</v>
      </c>
      <c r="G105" s="1003" t="s">
        <v>1496</v>
      </c>
      <c r="H105" s="937">
        <v>14</v>
      </c>
      <c r="I105" s="933" t="s">
        <v>1449</v>
      </c>
      <c r="J105" s="1002">
        <v>14</v>
      </c>
      <c r="K105" s="937">
        <v>40</v>
      </c>
      <c r="L105" s="933" t="s">
        <v>1449</v>
      </c>
      <c r="M105" s="1004">
        <v>40</v>
      </c>
      <c r="N105" s="829"/>
      <c r="O105" s="932" t="s">
        <v>885</v>
      </c>
      <c r="P105" s="933" t="s">
        <v>1449</v>
      </c>
      <c r="Q105" s="1005" t="s">
        <v>885</v>
      </c>
      <c r="R105" s="935" t="s">
        <v>1496</v>
      </c>
      <c r="S105" s="933" t="s">
        <v>1449</v>
      </c>
      <c r="T105" s="1006" t="s">
        <v>1496</v>
      </c>
      <c r="U105" s="937">
        <v>14</v>
      </c>
      <c r="V105" s="933" t="s">
        <v>1449</v>
      </c>
      <c r="W105" s="1005">
        <v>14</v>
      </c>
      <c r="X105" s="937">
        <v>40</v>
      </c>
      <c r="Y105" s="933" t="s">
        <v>1449</v>
      </c>
      <c r="Z105" s="1007">
        <v>40</v>
      </c>
      <c r="AA105" s="829"/>
      <c r="AB105" s="829"/>
    </row>
    <row r="106" spans="1:28" ht="44.25">
      <c r="A106" s="829"/>
      <c r="B106" s="932" t="s">
        <v>893</v>
      </c>
      <c r="C106" s="933" t="s">
        <v>1449</v>
      </c>
      <c r="D106" s="1002" t="s">
        <v>893</v>
      </c>
      <c r="E106" s="935" t="s">
        <v>1497</v>
      </c>
      <c r="F106" s="933" t="s">
        <v>1449</v>
      </c>
      <c r="G106" s="1003" t="s">
        <v>1497</v>
      </c>
      <c r="H106" s="937">
        <v>15</v>
      </c>
      <c r="I106" s="933" t="s">
        <v>1449</v>
      </c>
      <c r="J106" s="1002">
        <v>15</v>
      </c>
      <c r="K106" s="937">
        <v>41</v>
      </c>
      <c r="L106" s="933" t="s">
        <v>1449</v>
      </c>
      <c r="M106" s="1004">
        <v>41</v>
      </c>
      <c r="N106" s="829"/>
      <c r="O106" s="932" t="s">
        <v>893</v>
      </c>
      <c r="P106" s="933" t="s">
        <v>1449</v>
      </c>
      <c r="Q106" s="1005" t="s">
        <v>893</v>
      </c>
      <c r="R106" s="935" t="s">
        <v>1497</v>
      </c>
      <c r="S106" s="933" t="s">
        <v>1449</v>
      </c>
      <c r="T106" s="1006" t="s">
        <v>1497</v>
      </c>
      <c r="U106" s="937">
        <v>15</v>
      </c>
      <c r="V106" s="933" t="s">
        <v>1449</v>
      </c>
      <c r="W106" s="1005">
        <v>15</v>
      </c>
      <c r="X106" s="937">
        <v>41</v>
      </c>
      <c r="Y106" s="933" t="s">
        <v>1449</v>
      </c>
      <c r="Z106" s="1007">
        <v>41</v>
      </c>
      <c r="AA106" s="829"/>
      <c r="AB106" s="829"/>
    </row>
    <row r="107" spans="1:28" ht="44.25">
      <c r="A107" s="829"/>
      <c r="B107" s="932" t="s">
        <v>930</v>
      </c>
      <c r="C107" s="933" t="s">
        <v>1449</v>
      </c>
      <c r="D107" s="1002" t="s">
        <v>930</v>
      </c>
      <c r="E107" s="935" t="s">
        <v>1488</v>
      </c>
      <c r="F107" s="933" t="s">
        <v>1449</v>
      </c>
      <c r="G107" s="1003" t="s">
        <v>1488</v>
      </c>
      <c r="H107" s="937">
        <v>16</v>
      </c>
      <c r="I107" s="933" t="s">
        <v>1449</v>
      </c>
      <c r="J107" s="1002">
        <v>16</v>
      </c>
      <c r="K107" s="937">
        <v>42</v>
      </c>
      <c r="L107" s="933" t="s">
        <v>1449</v>
      </c>
      <c r="M107" s="1004">
        <v>42</v>
      </c>
      <c r="N107" s="829"/>
      <c r="O107" s="932" t="s">
        <v>930</v>
      </c>
      <c r="P107" s="933" t="s">
        <v>1449</v>
      </c>
      <c r="Q107" s="1005" t="s">
        <v>930</v>
      </c>
      <c r="R107" s="935" t="s">
        <v>1488</v>
      </c>
      <c r="S107" s="933" t="s">
        <v>1449</v>
      </c>
      <c r="T107" s="1006" t="s">
        <v>1488</v>
      </c>
      <c r="U107" s="937">
        <v>16</v>
      </c>
      <c r="V107" s="933" t="s">
        <v>1449</v>
      </c>
      <c r="W107" s="1005">
        <v>16</v>
      </c>
      <c r="X107" s="937">
        <v>42</v>
      </c>
      <c r="Y107" s="933" t="s">
        <v>1449</v>
      </c>
      <c r="Z107" s="1007">
        <v>42</v>
      </c>
      <c r="AA107" s="829"/>
      <c r="AB107" s="829"/>
    </row>
    <row r="108" spans="1:28" ht="44.25">
      <c r="A108" s="829"/>
      <c r="B108" s="932" t="s">
        <v>1498</v>
      </c>
      <c r="C108" s="933" t="s">
        <v>1449</v>
      </c>
      <c r="D108" s="1002" t="s">
        <v>1498</v>
      </c>
      <c r="E108" s="935" t="s">
        <v>1484</v>
      </c>
      <c r="F108" s="933" t="s">
        <v>1449</v>
      </c>
      <c r="G108" s="1003" t="s">
        <v>1484</v>
      </c>
      <c r="H108" s="937">
        <v>17</v>
      </c>
      <c r="I108" s="933" t="s">
        <v>1449</v>
      </c>
      <c r="J108" s="1002">
        <v>17</v>
      </c>
      <c r="K108" s="937">
        <v>43</v>
      </c>
      <c r="L108" s="933" t="s">
        <v>1449</v>
      </c>
      <c r="M108" s="1004">
        <v>43</v>
      </c>
      <c r="N108" s="829"/>
      <c r="O108" s="932" t="s">
        <v>1498</v>
      </c>
      <c r="P108" s="933" t="s">
        <v>1449</v>
      </c>
      <c r="Q108" s="1005" t="s">
        <v>1498</v>
      </c>
      <c r="R108" s="935" t="s">
        <v>1484</v>
      </c>
      <c r="S108" s="933" t="s">
        <v>1449</v>
      </c>
      <c r="T108" s="1006" t="s">
        <v>1484</v>
      </c>
      <c r="U108" s="937">
        <v>17</v>
      </c>
      <c r="V108" s="933" t="s">
        <v>1449</v>
      </c>
      <c r="W108" s="1005">
        <v>17</v>
      </c>
      <c r="X108" s="937">
        <v>43</v>
      </c>
      <c r="Y108" s="933" t="s">
        <v>1449</v>
      </c>
      <c r="Z108" s="1007">
        <v>43</v>
      </c>
      <c r="AA108" s="829"/>
      <c r="AB108" s="829"/>
    </row>
    <row r="109" spans="1:28" ht="44.25">
      <c r="A109" s="829"/>
      <c r="B109" s="932" t="s">
        <v>826</v>
      </c>
      <c r="C109" s="933" t="s">
        <v>1449</v>
      </c>
      <c r="D109" s="1002" t="s">
        <v>826</v>
      </c>
      <c r="E109" s="935" t="s">
        <v>1499</v>
      </c>
      <c r="F109" s="933" t="s">
        <v>1449</v>
      </c>
      <c r="G109" s="1003" t="s">
        <v>1499</v>
      </c>
      <c r="H109" s="937">
        <v>18</v>
      </c>
      <c r="I109" s="933" t="s">
        <v>1449</v>
      </c>
      <c r="J109" s="1002">
        <v>18</v>
      </c>
      <c r="K109" s="937">
        <v>44</v>
      </c>
      <c r="L109" s="933" t="s">
        <v>1449</v>
      </c>
      <c r="M109" s="1004">
        <v>44</v>
      </c>
      <c r="N109" s="829"/>
      <c r="O109" s="932" t="s">
        <v>826</v>
      </c>
      <c r="P109" s="933" t="s">
        <v>1449</v>
      </c>
      <c r="Q109" s="1005" t="s">
        <v>826</v>
      </c>
      <c r="R109" s="935" t="s">
        <v>1499</v>
      </c>
      <c r="S109" s="933" t="s">
        <v>1449</v>
      </c>
      <c r="T109" s="1006" t="s">
        <v>1499</v>
      </c>
      <c r="U109" s="937">
        <v>18</v>
      </c>
      <c r="V109" s="933" t="s">
        <v>1449</v>
      </c>
      <c r="W109" s="1005">
        <v>18</v>
      </c>
      <c r="X109" s="937">
        <v>44</v>
      </c>
      <c r="Y109" s="933" t="s">
        <v>1449</v>
      </c>
      <c r="Z109" s="1007">
        <v>44</v>
      </c>
      <c r="AA109" s="829"/>
      <c r="AB109" s="829"/>
    </row>
    <row r="110" spans="1:28" ht="44.25">
      <c r="A110" s="829"/>
      <c r="B110" s="932" t="s">
        <v>367</v>
      </c>
      <c r="C110" s="933" t="s">
        <v>1449</v>
      </c>
      <c r="D110" s="1002" t="s">
        <v>367</v>
      </c>
      <c r="E110" s="935" t="s">
        <v>1500</v>
      </c>
      <c r="F110" s="933" t="s">
        <v>1449</v>
      </c>
      <c r="G110" s="1003" t="s">
        <v>1500</v>
      </c>
      <c r="H110" s="937">
        <v>19</v>
      </c>
      <c r="I110" s="933" t="s">
        <v>1449</v>
      </c>
      <c r="J110" s="1002">
        <v>19</v>
      </c>
      <c r="K110" s="937">
        <v>45</v>
      </c>
      <c r="L110" s="933" t="s">
        <v>1449</v>
      </c>
      <c r="M110" s="1004">
        <v>45</v>
      </c>
      <c r="N110" s="829"/>
      <c r="O110" s="932" t="s">
        <v>367</v>
      </c>
      <c r="P110" s="933" t="s">
        <v>1449</v>
      </c>
      <c r="Q110" s="1005" t="s">
        <v>367</v>
      </c>
      <c r="R110" s="935" t="s">
        <v>1500</v>
      </c>
      <c r="S110" s="933" t="s">
        <v>1449</v>
      </c>
      <c r="T110" s="1006" t="s">
        <v>1500</v>
      </c>
      <c r="U110" s="937">
        <v>19</v>
      </c>
      <c r="V110" s="933" t="s">
        <v>1449</v>
      </c>
      <c r="W110" s="1005">
        <v>19</v>
      </c>
      <c r="X110" s="937">
        <v>45</v>
      </c>
      <c r="Y110" s="933" t="s">
        <v>1449</v>
      </c>
      <c r="Z110" s="1007">
        <v>45</v>
      </c>
      <c r="AA110" s="829"/>
      <c r="AB110" s="829"/>
    </row>
    <row r="111" spans="1:28" ht="44.25">
      <c r="A111" s="829"/>
      <c r="B111" s="932" t="s">
        <v>905</v>
      </c>
      <c r="C111" s="933" t="s">
        <v>1449</v>
      </c>
      <c r="D111" s="1002" t="s">
        <v>905</v>
      </c>
      <c r="E111" s="935" t="s">
        <v>1481</v>
      </c>
      <c r="F111" s="933" t="s">
        <v>1449</v>
      </c>
      <c r="G111" s="1003" t="s">
        <v>1481</v>
      </c>
      <c r="H111" s="937">
        <v>20</v>
      </c>
      <c r="I111" s="933" t="s">
        <v>1449</v>
      </c>
      <c r="J111" s="1002">
        <v>20</v>
      </c>
      <c r="K111" s="937">
        <v>46</v>
      </c>
      <c r="L111" s="933" t="s">
        <v>1449</v>
      </c>
      <c r="M111" s="1004">
        <v>46</v>
      </c>
      <c r="N111" s="829"/>
      <c r="O111" s="932" t="s">
        <v>905</v>
      </c>
      <c r="P111" s="933" t="s">
        <v>1449</v>
      </c>
      <c r="Q111" s="1005" t="s">
        <v>905</v>
      </c>
      <c r="R111" s="935" t="s">
        <v>1481</v>
      </c>
      <c r="S111" s="933" t="s">
        <v>1449</v>
      </c>
      <c r="T111" s="1006" t="s">
        <v>1481</v>
      </c>
      <c r="U111" s="937">
        <v>20</v>
      </c>
      <c r="V111" s="933" t="s">
        <v>1449</v>
      </c>
      <c r="W111" s="1005">
        <v>20</v>
      </c>
      <c r="X111" s="937">
        <v>46</v>
      </c>
      <c r="Y111" s="933" t="s">
        <v>1449</v>
      </c>
      <c r="Z111" s="1007">
        <v>46</v>
      </c>
      <c r="AA111" s="829"/>
      <c r="AB111" s="829"/>
    </row>
    <row r="112" spans="1:28" ht="44.25">
      <c r="A112" s="829"/>
      <c r="B112" s="932" t="s">
        <v>1501</v>
      </c>
      <c r="C112" s="933" t="s">
        <v>1449</v>
      </c>
      <c r="D112" s="1002" t="s">
        <v>1501</v>
      </c>
      <c r="E112" s="935" t="s">
        <v>1487</v>
      </c>
      <c r="F112" s="933" t="s">
        <v>1449</v>
      </c>
      <c r="G112" s="1003" t="s">
        <v>1487</v>
      </c>
      <c r="H112" s="937">
        <v>21</v>
      </c>
      <c r="I112" s="933" t="s">
        <v>1449</v>
      </c>
      <c r="J112" s="1002">
        <v>21</v>
      </c>
      <c r="K112" s="937">
        <v>47</v>
      </c>
      <c r="L112" s="933" t="s">
        <v>1449</v>
      </c>
      <c r="M112" s="1004">
        <v>47</v>
      </c>
      <c r="N112" s="829"/>
      <c r="O112" s="932" t="s">
        <v>1501</v>
      </c>
      <c r="P112" s="933" t="s">
        <v>1449</v>
      </c>
      <c r="Q112" s="1005" t="s">
        <v>1501</v>
      </c>
      <c r="R112" s="935" t="s">
        <v>1487</v>
      </c>
      <c r="S112" s="933" t="s">
        <v>1449</v>
      </c>
      <c r="T112" s="1006" t="s">
        <v>1487</v>
      </c>
      <c r="U112" s="937">
        <v>21</v>
      </c>
      <c r="V112" s="933" t="s">
        <v>1449</v>
      </c>
      <c r="W112" s="1005">
        <v>21</v>
      </c>
      <c r="X112" s="937">
        <v>47</v>
      </c>
      <c r="Y112" s="933" t="s">
        <v>1449</v>
      </c>
      <c r="Z112" s="1007">
        <v>47</v>
      </c>
      <c r="AA112" s="829"/>
      <c r="AB112" s="829"/>
    </row>
    <row r="113" spans="1:28" ht="44.25">
      <c r="A113" s="829"/>
      <c r="B113" s="932" t="s">
        <v>943</v>
      </c>
      <c r="C113" s="933" t="s">
        <v>1449</v>
      </c>
      <c r="D113" s="1002" t="s">
        <v>943</v>
      </c>
      <c r="E113" s="935" t="s">
        <v>1502</v>
      </c>
      <c r="F113" s="933" t="s">
        <v>1449</v>
      </c>
      <c r="G113" s="1003" t="s">
        <v>1502</v>
      </c>
      <c r="H113" s="937">
        <v>22</v>
      </c>
      <c r="I113" s="933" t="s">
        <v>1449</v>
      </c>
      <c r="J113" s="1002">
        <v>22</v>
      </c>
      <c r="K113" s="937">
        <v>48</v>
      </c>
      <c r="L113" s="933" t="s">
        <v>1449</v>
      </c>
      <c r="M113" s="1004">
        <v>48</v>
      </c>
      <c r="N113" s="829"/>
      <c r="O113" s="932" t="s">
        <v>943</v>
      </c>
      <c r="P113" s="933" t="s">
        <v>1449</v>
      </c>
      <c r="Q113" s="1005" t="s">
        <v>943</v>
      </c>
      <c r="R113" s="935" t="s">
        <v>1502</v>
      </c>
      <c r="S113" s="933" t="s">
        <v>1449</v>
      </c>
      <c r="T113" s="1006" t="s">
        <v>1502</v>
      </c>
      <c r="U113" s="937">
        <v>22</v>
      </c>
      <c r="V113" s="933" t="s">
        <v>1449</v>
      </c>
      <c r="W113" s="1005">
        <v>22</v>
      </c>
      <c r="X113" s="937">
        <v>48</v>
      </c>
      <c r="Y113" s="933" t="s">
        <v>1449</v>
      </c>
      <c r="Z113" s="1007">
        <v>48</v>
      </c>
      <c r="AA113" s="829"/>
      <c r="AB113" s="829"/>
    </row>
    <row r="114" spans="1:28" ht="44.25">
      <c r="A114" s="829"/>
      <c r="B114" s="932" t="s">
        <v>1503</v>
      </c>
      <c r="C114" s="933" t="s">
        <v>1449</v>
      </c>
      <c r="D114" s="1002" t="s">
        <v>1503</v>
      </c>
      <c r="E114" s="935" t="s">
        <v>1504</v>
      </c>
      <c r="F114" s="933" t="s">
        <v>1449</v>
      </c>
      <c r="G114" s="1003" t="s">
        <v>1504</v>
      </c>
      <c r="H114" s="937">
        <v>23</v>
      </c>
      <c r="I114" s="933" t="s">
        <v>1449</v>
      </c>
      <c r="J114" s="1002">
        <v>23</v>
      </c>
      <c r="K114" s="937">
        <v>49</v>
      </c>
      <c r="L114" s="933" t="s">
        <v>1449</v>
      </c>
      <c r="M114" s="1004">
        <v>49</v>
      </c>
      <c r="N114" s="829"/>
      <c r="O114" s="932" t="s">
        <v>1503</v>
      </c>
      <c r="P114" s="933" t="s">
        <v>1449</v>
      </c>
      <c r="Q114" s="1005" t="s">
        <v>1503</v>
      </c>
      <c r="R114" s="935" t="s">
        <v>1504</v>
      </c>
      <c r="S114" s="933" t="s">
        <v>1449</v>
      </c>
      <c r="T114" s="1006" t="s">
        <v>1504</v>
      </c>
      <c r="U114" s="937">
        <v>23</v>
      </c>
      <c r="V114" s="933" t="s">
        <v>1449</v>
      </c>
      <c r="W114" s="1005">
        <v>23</v>
      </c>
      <c r="X114" s="937">
        <v>49</v>
      </c>
      <c r="Y114" s="933" t="s">
        <v>1449</v>
      </c>
      <c r="Z114" s="1007">
        <v>49</v>
      </c>
      <c r="AA114" s="829"/>
      <c r="AB114" s="829"/>
    </row>
    <row r="115" spans="1:28" ht="44.25">
      <c r="A115" s="829"/>
      <c r="B115" s="932" t="s">
        <v>1480</v>
      </c>
      <c r="C115" s="933" t="s">
        <v>1449</v>
      </c>
      <c r="D115" s="1002" t="s">
        <v>1480</v>
      </c>
      <c r="E115" s="935" t="s">
        <v>1505</v>
      </c>
      <c r="F115" s="933" t="s">
        <v>1449</v>
      </c>
      <c r="G115" s="1003" t="s">
        <v>1505</v>
      </c>
      <c r="H115" s="937">
        <v>24</v>
      </c>
      <c r="I115" s="933" t="s">
        <v>1449</v>
      </c>
      <c r="J115" s="1002">
        <v>24</v>
      </c>
      <c r="K115" s="937">
        <v>50</v>
      </c>
      <c r="L115" s="933" t="s">
        <v>1449</v>
      </c>
      <c r="M115" s="1004">
        <v>50</v>
      </c>
      <c r="N115" s="829"/>
      <c r="O115" s="932" t="s">
        <v>1480</v>
      </c>
      <c r="P115" s="933" t="s">
        <v>1449</v>
      </c>
      <c r="Q115" s="1005" t="s">
        <v>1480</v>
      </c>
      <c r="R115" s="935" t="s">
        <v>1505</v>
      </c>
      <c r="S115" s="933" t="s">
        <v>1449</v>
      </c>
      <c r="T115" s="1006" t="s">
        <v>1505</v>
      </c>
      <c r="U115" s="937">
        <v>24</v>
      </c>
      <c r="V115" s="933" t="s">
        <v>1449</v>
      </c>
      <c r="W115" s="1005">
        <v>24</v>
      </c>
      <c r="X115" s="937">
        <v>50</v>
      </c>
      <c r="Y115" s="933" t="s">
        <v>1449</v>
      </c>
      <c r="Z115" s="1007">
        <v>50</v>
      </c>
      <c r="AA115" s="829"/>
      <c r="AB115" s="829"/>
    </row>
    <row r="116" spans="1:28" ht="44.25">
      <c r="A116" s="829"/>
      <c r="B116" s="932" t="s">
        <v>1507</v>
      </c>
      <c r="C116" s="933" t="s">
        <v>1449</v>
      </c>
      <c r="D116" s="1002" t="s">
        <v>1507</v>
      </c>
      <c r="E116" s="935" t="s">
        <v>1508</v>
      </c>
      <c r="F116" s="933" t="s">
        <v>1449</v>
      </c>
      <c r="G116" s="1003" t="s">
        <v>1508</v>
      </c>
      <c r="H116" s="937">
        <v>25</v>
      </c>
      <c r="I116" s="933" t="s">
        <v>1449</v>
      </c>
      <c r="J116" s="1002">
        <v>25</v>
      </c>
      <c r="K116" s="937">
        <v>51</v>
      </c>
      <c r="L116" s="933" t="s">
        <v>1449</v>
      </c>
      <c r="M116" s="1004">
        <v>51</v>
      </c>
      <c r="N116" s="829"/>
      <c r="O116" s="932" t="s">
        <v>1507</v>
      </c>
      <c r="P116" s="933" t="s">
        <v>1449</v>
      </c>
      <c r="Q116" s="1005" t="s">
        <v>1507</v>
      </c>
      <c r="R116" s="935" t="s">
        <v>1508</v>
      </c>
      <c r="S116" s="933" t="s">
        <v>1449</v>
      </c>
      <c r="T116" s="1006" t="s">
        <v>1508</v>
      </c>
      <c r="U116" s="937">
        <v>25</v>
      </c>
      <c r="V116" s="933" t="s">
        <v>1449</v>
      </c>
      <c r="W116" s="1005">
        <v>25</v>
      </c>
      <c r="X116" s="937">
        <v>51</v>
      </c>
      <c r="Y116" s="933" t="s">
        <v>1449</v>
      </c>
      <c r="Z116" s="1007">
        <v>51</v>
      </c>
      <c r="AA116" s="829"/>
      <c r="AB116" s="829"/>
    </row>
    <row r="117" spans="1:28" ht="44.25">
      <c r="A117" s="829"/>
      <c r="B117" s="932" t="s">
        <v>1483</v>
      </c>
      <c r="C117" s="933" t="s">
        <v>1449</v>
      </c>
      <c r="D117" s="1002" t="s">
        <v>1483</v>
      </c>
      <c r="E117" s="935" t="s">
        <v>1510</v>
      </c>
      <c r="F117" s="933" t="s">
        <v>1449</v>
      </c>
      <c r="G117" s="1003" t="s">
        <v>1510</v>
      </c>
      <c r="H117" s="937">
        <v>26</v>
      </c>
      <c r="I117" s="933" t="s">
        <v>1449</v>
      </c>
      <c r="J117" s="1002">
        <v>26</v>
      </c>
      <c r="K117" s="937">
        <v>52</v>
      </c>
      <c r="L117" s="933" t="s">
        <v>1449</v>
      </c>
      <c r="M117" s="1004">
        <v>52</v>
      </c>
      <c r="N117" s="829"/>
      <c r="O117" s="932" t="s">
        <v>1483</v>
      </c>
      <c r="P117" s="933" t="s">
        <v>1449</v>
      </c>
      <c r="Q117" s="1005" t="s">
        <v>1483</v>
      </c>
      <c r="R117" s="935" t="s">
        <v>1510</v>
      </c>
      <c r="S117" s="933" t="s">
        <v>1449</v>
      </c>
      <c r="T117" s="1006" t="s">
        <v>1510</v>
      </c>
      <c r="U117" s="937">
        <v>26</v>
      </c>
      <c r="V117" s="933" t="s">
        <v>1449</v>
      </c>
      <c r="W117" s="1005">
        <v>26</v>
      </c>
      <c r="X117" s="937">
        <v>52</v>
      </c>
      <c r="Y117" s="933" t="s">
        <v>1449</v>
      </c>
      <c r="Z117" s="1007">
        <v>52</v>
      </c>
      <c r="AA117" s="829"/>
      <c r="AB117" s="829"/>
    </row>
    <row r="118" spans="1:28" ht="44.25">
      <c r="A118" s="829"/>
      <c r="B118" s="932" t="s">
        <v>1512</v>
      </c>
      <c r="C118" s="933" t="s">
        <v>1449</v>
      </c>
      <c r="D118" s="1002" t="s">
        <v>1512</v>
      </c>
      <c r="E118" s="935" t="s">
        <v>21</v>
      </c>
      <c r="F118" s="933" t="s">
        <v>1449</v>
      </c>
      <c r="G118" s="1003" t="s">
        <v>21</v>
      </c>
      <c r="H118" s="937" t="s">
        <v>1513</v>
      </c>
      <c r="I118" s="933" t="s">
        <v>1449</v>
      </c>
      <c r="J118" s="1002" t="s">
        <v>1513</v>
      </c>
      <c r="K118" s="937" t="s">
        <v>1514</v>
      </c>
      <c r="L118" s="933" t="s">
        <v>1449</v>
      </c>
      <c r="M118" s="1004" t="s">
        <v>1514</v>
      </c>
      <c r="N118" s="829"/>
      <c r="O118" s="932" t="s">
        <v>1512</v>
      </c>
      <c r="P118" s="933" t="s">
        <v>1449</v>
      </c>
      <c r="Q118" s="1005" t="s">
        <v>1512</v>
      </c>
      <c r="R118" s="935" t="s">
        <v>21</v>
      </c>
      <c r="S118" s="933" t="s">
        <v>1449</v>
      </c>
      <c r="T118" s="1006" t="s">
        <v>21</v>
      </c>
      <c r="U118" s="937" t="s">
        <v>1513</v>
      </c>
      <c r="V118" s="933" t="s">
        <v>1449</v>
      </c>
      <c r="W118" s="1005" t="s">
        <v>1513</v>
      </c>
      <c r="X118" s="937" t="s">
        <v>1514</v>
      </c>
      <c r="Y118" s="933" t="s">
        <v>1449</v>
      </c>
      <c r="Z118" s="1007" t="s">
        <v>1514</v>
      </c>
      <c r="AA118" s="829"/>
      <c r="AB118" s="829"/>
    </row>
    <row r="119" spans="1:28" ht="44.25">
      <c r="A119" s="829"/>
      <c r="B119" s="932" t="s">
        <v>1515</v>
      </c>
      <c r="C119" s="933" t="s">
        <v>1449</v>
      </c>
      <c r="D119" s="1002" t="s">
        <v>1515</v>
      </c>
      <c r="E119" s="935" t="s">
        <v>1516</v>
      </c>
      <c r="F119" s="933" t="s">
        <v>1449</v>
      </c>
      <c r="G119" s="1003" t="s">
        <v>1516</v>
      </c>
      <c r="H119" s="937" t="s">
        <v>226</v>
      </c>
      <c r="I119" s="933" t="s">
        <v>1449</v>
      </c>
      <c r="J119" s="1002" t="s">
        <v>226</v>
      </c>
      <c r="K119" s="937" t="s">
        <v>1517</v>
      </c>
      <c r="L119" s="933" t="s">
        <v>1449</v>
      </c>
      <c r="M119" s="1004" t="s">
        <v>1517</v>
      </c>
      <c r="N119" s="829"/>
      <c r="O119" s="932" t="s">
        <v>1515</v>
      </c>
      <c r="P119" s="933" t="s">
        <v>1449</v>
      </c>
      <c r="Q119" s="1005" t="s">
        <v>1515</v>
      </c>
      <c r="R119" s="935" t="s">
        <v>1516</v>
      </c>
      <c r="S119" s="933" t="s">
        <v>1449</v>
      </c>
      <c r="T119" s="1006" t="s">
        <v>1516</v>
      </c>
      <c r="U119" s="937" t="s">
        <v>226</v>
      </c>
      <c r="V119" s="933" t="s">
        <v>1449</v>
      </c>
      <c r="W119" s="1005" t="s">
        <v>226</v>
      </c>
      <c r="X119" s="937" t="s">
        <v>1517</v>
      </c>
      <c r="Y119" s="933" t="s">
        <v>1449</v>
      </c>
      <c r="Z119" s="1007" t="s">
        <v>1517</v>
      </c>
      <c r="AA119" s="829"/>
      <c r="AB119" s="829"/>
    </row>
    <row r="120" spans="1:28" ht="44.25">
      <c r="A120" s="829"/>
      <c r="B120" s="932" t="s">
        <v>1519</v>
      </c>
      <c r="C120" s="933" t="s">
        <v>1449</v>
      </c>
      <c r="D120" s="1002" t="s">
        <v>1519</v>
      </c>
      <c r="E120" s="935" t="s">
        <v>1520</v>
      </c>
      <c r="F120" s="933" t="s">
        <v>1449</v>
      </c>
      <c r="G120" s="1003" t="s">
        <v>1520</v>
      </c>
      <c r="H120" s="937" t="s">
        <v>1521</v>
      </c>
      <c r="I120" s="933" t="s">
        <v>1449</v>
      </c>
      <c r="J120" s="1002" t="s">
        <v>1521</v>
      </c>
      <c r="K120" s="937" t="s">
        <v>1522</v>
      </c>
      <c r="L120" s="933" t="s">
        <v>1449</v>
      </c>
      <c r="M120" s="1004" t="s">
        <v>1522</v>
      </c>
      <c r="N120" s="829"/>
      <c r="O120" s="932" t="s">
        <v>1519</v>
      </c>
      <c r="P120" s="933" t="s">
        <v>1449</v>
      </c>
      <c r="Q120" s="1005" t="s">
        <v>1519</v>
      </c>
      <c r="R120" s="935" t="s">
        <v>1520</v>
      </c>
      <c r="S120" s="933" t="s">
        <v>1449</v>
      </c>
      <c r="T120" s="1006" t="s">
        <v>1520</v>
      </c>
      <c r="U120" s="937" t="s">
        <v>1521</v>
      </c>
      <c r="V120" s="933" t="s">
        <v>1449</v>
      </c>
      <c r="W120" s="1005" t="s">
        <v>1521</v>
      </c>
      <c r="X120" s="937" t="s">
        <v>1522</v>
      </c>
      <c r="Y120" s="933" t="s">
        <v>1449</v>
      </c>
      <c r="Z120" s="1007" t="s">
        <v>1522</v>
      </c>
      <c r="AA120" s="829"/>
      <c r="AB120" s="829"/>
    </row>
    <row r="121" spans="1:28" ht="44.25">
      <c r="A121" s="829"/>
      <c r="B121" s="932" t="s">
        <v>1524</v>
      </c>
      <c r="C121" s="933" t="s">
        <v>1449</v>
      </c>
      <c r="D121" s="1002" t="s">
        <v>1524</v>
      </c>
      <c r="E121" s="935" t="s">
        <v>1525</v>
      </c>
      <c r="F121" s="933" t="s">
        <v>1449</v>
      </c>
      <c r="G121" s="1003" t="s">
        <v>1525</v>
      </c>
      <c r="H121" s="937" t="s">
        <v>70</v>
      </c>
      <c r="I121" s="933" t="s">
        <v>1449</v>
      </c>
      <c r="J121" s="1002" t="s">
        <v>70</v>
      </c>
      <c r="K121" s="937" t="s">
        <v>2</v>
      </c>
      <c r="L121" s="933" t="s">
        <v>1449</v>
      </c>
      <c r="M121" s="1004" t="s">
        <v>2</v>
      </c>
      <c r="N121" s="829"/>
      <c r="O121" s="932" t="s">
        <v>1524</v>
      </c>
      <c r="P121" s="933" t="s">
        <v>1449</v>
      </c>
      <c r="Q121" s="1005" t="s">
        <v>1524</v>
      </c>
      <c r="R121" s="935" t="s">
        <v>1525</v>
      </c>
      <c r="S121" s="933" t="s">
        <v>1449</v>
      </c>
      <c r="T121" s="1006" t="s">
        <v>1525</v>
      </c>
      <c r="U121" s="937" t="s">
        <v>70</v>
      </c>
      <c r="V121" s="933" t="s">
        <v>1449</v>
      </c>
      <c r="W121" s="1005" t="s">
        <v>70</v>
      </c>
      <c r="X121" s="937" t="s">
        <v>2</v>
      </c>
      <c r="Y121" s="933" t="s">
        <v>1449</v>
      </c>
      <c r="Z121" s="1007" t="s">
        <v>2</v>
      </c>
      <c r="AA121" s="829"/>
      <c r="AB121" s="829"/>
    </row>
    <row r="122" spans="1:28" ht="44.25">
      <c r="A122" s="829"/>
      <c r="B122" s="932" t="s">
        <v>1526</v>
      </c>
      <c r="C122" s="933" t="s">
        <v>1449</v>
      </c>
      <c r="D122" s="1002" t="s">
        <v>1526</v>
      </c>
      <c r="E122" s="935" t="s">
        <v>1527</v>
      </c>
      <c r="F122" s="933" t="s">
        <v>1449</v>
      </c>
      <c r="G122" s="1003" t="s">
        <v>1527</v>
      </c>
      <c r="H122" s="937" t="s">
        <v>1528</v>
      </c>
      <c r="I122" s="933" t="s">
        <v>1449</v>
      </c>
      <c r="J122" s="1002" t="s">
        <v>1528</v>
      </c>
      <c r="K122" s="937" t="s">
        <v>1529</v>
      </c>
      <c r="L122" s="933" t="s">
        <v>1449</v>
      </c>
      <c r="M122" s="1004" t="s">
        <v>1529</v>
      </c>
      <c r="N122" s="829"/>
      <c r="O122" s="932" t="s">
        <v>1526</v>
      </c>
      <c r="P122" s="933" t="s">
        <v>1449</v>
      </c>
      <c r="Q122" s="1005" t="s">
        <v>1526</v>
      </c>
      <c r="R122" s="935" t="s">
        <v>1527</v>
      </c>
      <c r="S122" s="933" t="s">
        <v>1449</v>
      </c>
      <c r="T122" s="1006" t="s">
        <v>1527</v>
      </c>
      <c r="U122" s="937" t="s">
        <v>1528</v>
      </c>
      <c r="V122" s="933" t="s">
        <v>1449</v>
      </c>
      <c r="W122" s="1005" t="s">
        <v>1528</v>
      </c>
      <c r="X122" s="937" t="s">
        <v>1529</v>
      </c>
      <c r="Y122" s="933" t="s">
        <v>1449</v>
      </c>
      <c r="Z122" s="1007" t="s">
        <v>1529</v>
      </c>
      <c r="AA122" s="829"/>
      <c r="AB122" s="829"/>
    </row>
    <row r="123" spans="1:28" ht="44.25">
      <c r="A123" s="829"/>
      <c r="B123" s="932" t="s">
        <v>1531</v>
      </c>
      <c r="C123" s="933" t="s">
        <v>1449</v>
      </c>
      <c r="D123" s="1002" t="s">
        <v>1531</v>
      </c>
      <c r="E123" s="935" t="s">
        <v>1532</v>
      </c>
      <c r="F123" s="933" t="s">
        <v>1449</v>
      </c>
      <c r="G123" s="1003" t="s">
        <v>1532</v>
      </c>
      <c r="H123" s="937" t="s">
        <v>1533</v>
      </c>
      <c r="I123" s="933" t="s">
        <v>1449</v>
      </c>
      <c r="J123" s="1002" t="s">
        <v>1533</v>
      </c>
      <c r="K123" s="937" t="s">
        <v>1534</v>
      </c>
      <c r="L123" s="933" t="s">
        <v>1449</v>
      </c>
      <c r="M123" s="1004" t="s">
        <v>1534</v>
      </c>
      <c r="N123" s="829"/>
      <c r="O123" s="932" t="s">
        <v>1531</v>
      </c>
      <c r="P123" s="933" t="s">
        <v>1449</v>
      </c>
      <c r="Q123" s="1005" t="s">
        <v>1531</v>
      </c>
      <c r="R123" s="935" t="s">
        <v>1532</v>
      </c>
      <c r="S123" s="933" t="s">
        <v>1449</v>
      </c>
      <c r="T123" s="1006" t="s">
        <v>1532</v>
      </c>
      <c r="U123" s="937" t="s">
        <v>1533</v>
      </c>
      <c r="V123" s="933" t="s">
        <v>1449</v>
      </c>
      <c r="W123" s="1005" t="s">
        <v>1533</v>
      </c>
      <c r="X123" s="937" t="s">
        <v>1534</v>
      </c>
      <c r="Y123" s="933" t="s">
        <v>1449</v>
      </c>
      <c r="Z123" s="1007" t="s">
        <v>1534</v>
      </c>
      <c r="AA123" s="829"/>
      <c r="AB123" s="829"/>
    </row>
    <row r="124" spans="1:28" ht="44.25">
      <c r="A124" s="829"/>
      <c r="B124" s="932" t="s">
        <v>1536</v>
      </c>
      <c r="C124" s="933" t="s">
        <v>1449</v>
      </c>
      <c r="D124" s="1002" t="s">
        <v>1536</v>
      </c>
      <c r="E124" s="935" t="s">
        <v>1537</v>
      </c>
      <c r="F124" s="933" t="s">
        <v>1449</v>
      </c>
      <c r="G124" s="1003" t="s">
        <v>1537</v>
      </c>
      <c r="H124" s="937" t="s">
        <v>1538</v>
      </c>
      <c r="I124" s="933" t="s">
        <v>1449</v>
      </c>
      <c r="J124" s="1002" t="s">
        <v>1538</v>
      </c>
      <c r="K124" s="937" t="s">
        <v>1539</v>
      </c>
      <c r="L124" s="933" t="s">
        <v>1449</v>
      </c>
      <c r="M124" s="1004" t="s">
        <v>1539</v>
      </c>
      <c r="N124" s="829"/>
      <c r="O124" s="932" t="s">
        <v>1536</v>
      </c>
      <c r="P124" s="933" t="s">
        <v>1449</v>
      </c>
      <c r="Q124" s="1005" t="s">
        <v>1536</v>
      </c>
      <c r="R124" s="935" t="s">
        <v>1537</v>
      </c>
      <c r="S124" s="933" t="s">
        <v>1449</v>
      </c>
      <c r="T124" s="1006" t="s">
        <v>1537</v>
      </c>
      <c r="U124" s="937" t="s">
        <v>1538</v>
      </c>
      <c r="V124" s="933" t="s">
        <v>1449</v>
      </c>
      <c r="W124" s="1005" t="s">
        <v>1538</v>
      </c>
      <c r="X124" s="937" t="s">
        <v>1539</v>
      </c>
      <c r="Y124" s="933" t="s">
        <v>1449</v>
      </c>
      <c r="Z124" s="1007" t="s">
        <v>1539</v>
      </c>
      <c r="AA124" s="829"/>
      <c r="AB124" s="829"/>
    </row>
    <row r="125" spans="1:28" ht="44.25">
      <c r="A125" s="829"/>
      <c r="B125" s="932" t="s">
        <v>1540</v>
      </c>
      <c r="C125" s="933" t="s">
        <v>1449</v>
      </c>
      <c r="D125" s="1002" t="s">
        <v>1540</v>
      </c>
      <c r="E125" s="935" t="s">
        <v>1541</v>
      </c>
      <c r="F125" s="933" t="s">
        <v>1449</v>
      </c>
      <c r="G125" s="1003" t="s">
        <v>1541</v>
      </c>
      <c r="H125" s="937" t="s">
        <v>1542</v>
      </c>
      <c r="I125" s="933" t="s">
        <v>1449</v>
      </c>
      <c r="J125" s="1002" t="s">
        <v>1542</v>
      </c>
      <c r="K125" s="937" t="s">
        <v>44</v>
      </c>
      <c r="L125" s="933" t="s">
        <v>1449</v>
      </c>
      <c r="M125" s="1004" t="s">
        <v>44</v>
      </c>
      <c r="N125" s="829"/>
      <c r="O125" s="932" t="s">
        <v>1540</v>
      </c>
      <c r="P125" s="933" t="s">
        <v>1449</v>
      </c>
      <c r="Q125" s="1005" t="s">
        <v>1540</v>
      </c>
      <c r="R125" s="935" t="s">
        <v>1541</v>
      </c>
      <c r="S125" s="933" t="s">
        <v>1449</v>
      </c>
      <c r="T125" s="1006" t="s">
        <v>1541</v>
      </c>
      <c r="U125" s="937" t="s">
        <v>1542</v>
      </c>
      <c r="V125" s="933" t="s">
        <v>1449</v>
      </c>
      <c r="W125" s="1005" t="s">
        <v>1542</v>
      </c>
      <c r="X125" s="937" t="s">
        <v>44</v>
      </c>
      <c r="Y125" s="933" t="s">
        <v>1449</v>
      </c>
      <c r="Z125" s="1007" t="s">
        <v>44</v>
      </c>
      <c r="AA125" s="829"/>
      <c r="AB125" s="829"/>
    </row>
    <row r="126" spans="1:28" ht="44.25">
      <c r="A126" s="829"/>
      <c r="B126" s="932"/>
      <c r="C126" s="933" t="s">
        <v>1449</v>
      </c>
      <c r="D126" s="1002"/>
      <c r="E126" s="935" t="s">
        <v>1544</v>
      </c>
      <c r="F126" s="933" t="s">
        <v>1449</v>
      </c>
      <c r="G126" s="1003" t="s">
        <v>1544</v>
      </c>
      <c r="H126" s="937" t="s">
        <v>1545</v>
      </c>
      <c r="I126" s="933" t="s">
        <v>1449</v>
      </c>
      <c r="J126" s="1002" t="s">
        <v>1545</v>
      </c>
      <c r="K126" s="937"/>
      <c r="L126" s="933" t="s">
        <v>1449</v>
      </c>
      <c r="M126" s="1004"/>
      <c r="N126" s="829"/>
      <c r="O126" s="932"/>
      <c r="P126" s="933" t="s">
        <v>1449</v>
      </c>
      <c r="Q126" s="1005"/>
      <c r="R126" s="935" t="s">
        <v>1544</v>
      </c>
      <c r="S126" s="933" t="s">
        <v>1449</v>
      </c>
      <c r="T126" s="1006" t="s">
        <v>1544</v>
      </c>
      <c r="U126" s="937" t="s">
        <v>1545</v>
      </c>
      <c r="V126" s="933" t="s">
        <v>1449</v>
      </c>
      <c r="W126" s="1005" t="s">
        <v>1545</v>
      </c>
      <c r="X126" s="937"/>
      <c r="Y126" s="933" t="s">
        <v>1449</v>
      </c>
      <c r="Z126" s="1007"/>
      <c r="AA126" s="829"/>
      <c r="AB126" s="829"/>
    </row>
    <row r="127" spans="1:28" ht="15">
      <c r="B127" s="1008"/>
      <c r="C127" s="1009"/>
      <c r="D127" s="1009"/>
      <c r="E127" s="1009"/>
      <c r="F127" s="1009"/>
      <c r="G127" s="1009"/>
      <c r="H127" s="1009"/>
      <c r="I127" s="1009"/>
      <c r="J127" s="1009"/>
      <c r="K127" s="1009"/>
      <c r="L127" s="1009"/>
      <c r="M127" s="1010"/>
      <c r="N127" s="1011"/>
      <c r="O127" s="1008"/>
      <c r="P127" s="1009"/>
      <c r="Q127" s="1009"/>
      <c r="R127" s="1009"/>
      <c r="S127" s="1009"/>
      <c r="T127" s="1009"/>
      <c r="U127" s="1009"/>
      <c r="V127" s="1009"/>
      <c r="W127" s="1009"/>
      <c r="X127" s="1009"/>
      <c r="Y127" s="1009"/>
      <c r="Z127" s="1012"/>
      <c r="AA127" s="993"/>
    </row>
    <row r="130" spans="1:28" ht="30">
      <c r="B130" s="909" t="s">
        <v>1445</v>
      </c>
      <c r="C130" s="910"/>
      <c r="D130" s="911" t="s">
        <v>1446</v>
      </c>
      <c r="E130" s="915" t="s">
        <v>1554</v>
      </c>
      <c r="F130" s="916"/>
      <c r="G130" s="916"/>
      <c r="H130" s="916"/>
      <c r="I130" s="916"/>
      <c r="J130" s="916"/>
      <c r="K130" s="916"/>
      <c r="L130" s="916"/>
      <c r="M130" s="917"/>
      <c r="O130" s="909" t="s">
        <v>1445</v>
      </c>
      <c r="P130" s="910"/>
      <c r="Q130" s="911" t="s">
        <v>1446</v>
      </c>
      <c r="R130" s="1013" t="s">
        <v>1555</v>
      </c>
      <c r="S130" s="1014"/>
      <c r="T130" s="1014"/>
      <c r="U130" s="1014"/>
      <c r="V130" s="1014"/>
      <c r="W130" s="1014"/>
      <c r="X130" s="1014"/>
      <c r="Y130" s="1014"/>
      <c r="Z130" s="1015"/>
    </row>
    <row r="131" spans="1:28" ht="36">
      <c r="B131" s="918" t="s">
        <v>1451</v>
      </c>
      <c r="C131" s="919" t="s">
        <v>1449</v>
      </c>
      <c r="D131" s="1016" t="str">
        <f>B131</f>
        <v>Aa</v>
      </c>
      <c r="E131" s="980" t="s">
        <v>1556</v>
      </c>
      <c r="F131" s="980"/>
      <c r="G131" s="981"/>
      <c r="H131" s="981"/>
      <c r="I131" s="981"/>
      <c r="J131" s="981"/>
      <c r="K131" s="981"/>
      <c r="L131" s="981"/>
      <c r="M131" s="982"/>
      <c r="O131" s="918" t="s">
        <v>1451</v>
      </c>
      <c r="P131" s="919" t="s">
        <v>1449</v>
      </c>
      <c r="Q131" s="1017" t="str">
        <f>O131</f>
        <v>Aa</v>
      </c>
      <c r="R131" s="980" t="s">
        <v>1556</v>
      </c>
      <c r="S131" s="980"/>
      <c r="T131" s="981"/>
      <c r="U131" s="981"/>
      <c r="V131" s="981"/>
      <c r="W131" s="981"/>
      <c r="X131" s="981"/>
      <c r="Y131" s="981"/>
      <c r="Z131" s="982"/>
    </row>
    <row r="132" spans="1:28">
      <c r="B132" s="927"/>
      <c r="C132" s="928"/>
      <c r="D132" s="928"/>
      <c r="E132" s="928"/>
      <c r="F132" s="928"/>
      <c r="G132" s="928"/>
      <c r="H132" s="928"/>
      <c r="I132" s="928"/>
      <c r="J132" s="928"/>
      <c r="K132" s="928"/>
      <c r="L132" s="928"/>
      <c r="M132" s="929"/>
      <c r="O132" s="927"/>
      <c r="P132" s="928"/>
      <c r="Q132" s="928"/>
      <c r="R132" s="928"/>
      <c r="S132" s="928"/>
      <c r="T132" s="928"/>
      <c r="U132" s="928"/>
      <c r="V132" s="928"/>
      <c r="W132" s="928"/>
      <c r="X132" s="928"/>
      <c r="Y132" s="928"/>
      <c r="Z132" s="929"/>
    </row>
    <row r="133" spans="1:28">
      <c r="B133" s="930" t="s">
        <v>1452</v>
      </c>
      <c r="C133" s="3357" t="s">
        <v>1453</v>
      </c>
      <c r="D133" s="3358"/>
      <c r="E133" s="931" t="s">
        <v>1454</v>
      </c>
      <c r="F133" s="3357" t="s">
        <v>1453</v>
      </c>
      <c r="G133" s="3358"/>
      <c r="H133" s="931" t="s">
        <v>1455</v>
      </c>
      <c r="I133" s="3357" t="s">
        <v>1453</v>
      </c>
      <c r="J133" s="3358"/>
      <c r="K133" s="931" t="s">
        <v>1456</v>
      </c>
      <c r="L133" s="3357" t="s">
        <v>1453</v>
      </c>
      <c r="M133" s="3359"/>
      <c r="O133" s="930" t="s">
        <v>1452</v>
      </c>
      <c r="P133" s="3354" t="s">
        <v>1453</v>
      </c>
      <c r="Q133" s="3355"/>
      <c r="R133" s="931" t="s">
        <v>1454</v>
      </c>
      <c r="S133" s="3354" t="s">
        <v>1453</v>
      </c>
      <c r="T133" s="3355"/>
      <c r="U133" s="931" t="s">
        <v>1455</v>
      </c>
      <c r="V133" s="3354" t="s">
        <v>1453</v>
      </c>
      <c r="W133" s="3355"/>
      <c r="X133" s="931" t="s">
        <v>1456</v>
      </c>
      <c r="Y133" s="3354" t="s">
        <v>1453</v>
      </c>
      <c r="Z133" s="3356"/>
    </row>
    <row r="134" spans="1:28" ht="53.25">
      <c r="A134" s="829"/>
      <c r="B134" s="932" t="s">
        <v>351</v>
      </c>
      <c r="C134" s="933" t="s">
        <v>1449</v>
      </c>
      <c r="D134" s="1018" t="s">
        <v>351</v>
      </c>
      <c r="E134" s="935" t="s">
        <v>1457</v>
      </c>
      <c r="F134" s="933" t="s">
        <v>1449</v>
      </c>
      <c r="G134" s="1019" t="s">
        <v>1457</v>
      </c>
      <c r="H134" s="937">
        <v>1</v>
      </c>
      <c r="I134" s="933" t="s">
        <v>1449</v>
      </c>
      <c r="J134" s="1020">
        <v>1</v>
      </c>
      <c r="K134" s="937">
        <v>27</v>
      </c>
      <c r="L134" s="933" t="s">
        <v>1449</v>
      </c>
      <c r="M134" s="1021">
        <v>27</v>
      </c>
      <c r="N134" s="829"/>
      <c r="O134" s="932" t="s">
        <v>351</v>
      </c>
      <c r="P134" s="933" t="s">
        <v>1449</v>
      </c>
      <c r="Q134" s="1022" t="s">
        <v>351</v>
      </c>
      <c r="R134" s="935" t="s">
        <v>1457</v>
      </c>
      <c r="S134" s="933" t="s">
        <v>1449</v>
      </c>
      <c r="T134" s="1023" t="s">
        <v>1457</v>
      </c>
      <c r="U134" s="937">
        <v>1</v>
      </c>
      <c r="V134" s="933" t="s">
        <v>1449</v>
      </c>
      <c r="W134" s="1022">
        <v>1</v>
      </c>
      <c r="X134" s="937">
        <v>27</v>
      </c>
      <c r="Y134" s="933" t="s">
        <v>1449</v>
      </c>
      <c r="Z134" s="1024">
        <v>27</v>
      </c>
      <c r="AA134" s="829"/>
      <c r="AB134" s="829"/>
    </row>
    <row r="135" spans="1:28" ht="53.25">
      <c r="A135" s="829"/>
      <c r="B135" s="932" t="s">
        <v>353</v>
      </c>
      <c r="C135" s="933" t="s">
        <v>1449</v>
      </c>
      <c r="D135" s="1018" t="s">
        <v>353</v>
      </c>
      <c r="E135" s="935" t="s">
        <v>1460</v>
      </c>
      <c r="F135" s="933" t="s">
        <v>1449</v>
      </c>
      <c r="G135" s="1019" t="s">
        <v>1460</v>
      </c>
      <c r="H135" s="937">
        <v>2</v>
      </c>
      <c r="I135" s="933" t="s">
        <v>1449</v>
      </c>
      <c r="J135" s="1020">
        <v>2</v>
      </c>
      <c r="K135" s="937">
        <v>28</v>
      </c>
      <c r="L135" s="933" t="s">
        <v>1449</v>
      </c>
      <c r="M135" s="1021">
        <v>28</v>
      </c>
      <c r="N135" s="829"/>
      <c r="O135" s="932" t="s">
        <v>353</v>
      </c>
      <c r="P135" s="933" t="s">
        <v>1449</v>
      </c>
      <c r="Q135" s="1022" t="s">
        <v>353</v>
      </c>
      <c r="R135" s="935" t="s">
        <v>1460</v>
      </c>
      <c r="S135" s="933" t="s">
        <v>1449</v>
      </c>
      <c r="T135" s="1023" t="s">
        <v>1460</v>
      </c>
      <c r="U135" s="937">
        <v>2</v>
      </c>
      <c r="V135" s="933" t="s">
        <v>1449</v>
      </c>
      <c r="W135" s="1022">
        <v>2</v>
      </c>
      <c r="X135" s="937">
        <v>28</v>
      </c>
      <c r="Y135" s="933" t="s">
        <v>1449</v>
      </c>
      <c r="Z135" s="1024">
        <v>28</v>
      </c>
      <c r="AA135" s="829"/>
      <c r="AB135" s="829"/>
    </row>
    <row r="136" spans="1:28" ht="53.25">
      <c r="A136" s="829"/>
      <c r="B136" s="932" t="s">
        <v>352</v>
      </c>
      <c r="C136" s="933" t="s">
        <v>1449</v>
      </c>
      <c r="D136" s="1018" t="s">
        <v>352</v>
      </c>
      <c r="E136" s="935" t="s">
        <v>1464</v>
      </c>
      <c r="F136" s="933" t="s">
        <v>1449</v>
      </c>
      <c r="G136" s="1019" t="s">
        <v>1464</v>
      </c>
      <c r="H136" s="937">
        <v>3</v>
      </c>
      <c r="I136" s="933" t="s">
        <v>1449</v>
      </c>
      <c r="J136" s="1020">
        <v>3</v>
      </c>
      <c r="K136" s="937">
        <v>29</v>
      </c>
      <c r="L136" s="933" t="s">
        <v>1449</v>
      </c>
      <c r="M136" s="1021">
        <v>29</v>
      </c>
      <c r="N136" s="829"/>
      <c r="O136" s="932" t="s">
        <v>352</v>
      </c>
      <c r="P136" s="933" t="s">
        <v>1449</v>
      </c>
      <c r="Q136" s="1022" t="s">
        <v>352</v>
      </c>
      <c r="R136" s="935" t="s">
        <v>1464</v>
      </c>
      <c r="S136" s="933" t="s">
        <v>1449</v>
      </c>
      <c r="T136" s="1023" t="s">
        <v>1464</v>
      </c>
      <c r="U136" s="937">
        <v>3</v>
      </c>
      <c r="V136" s="933" t="s">
        <v>1449</v>
      </c>
      <c r="W136" s="1022">
        <v>3</v>
      </c>
      <c r="X136" s="937">
        <v>29</v>
      </c>
      <c r="Y136" s="933" t="s">
        <v>1449</v>
      </c>
      <c r="Z136" s="1024">
        <v>29</v>
      </c>
      <c r="AA136" s="829"/>
      <c r="AB136" s="829"/>
    </row>
    <row r="137" spans="1:28" ht="53.25">
      <c r="A137" s="829"/>
      <c r="B137" s="932" t="s">
        <v>356</v>
      </c>
      <c r="C137" s="933" t="s">
        <v>1449</v>
      </c>
      <c r="D137" s="1018" t="s">
        <v>356</v>
      </c>
      <c r="E137" s="935" t="s">
        <v>1467</v>
      </c>
      <c r="F137" s="933" t="s">
        <v>1449</v>
      </c>
      <c r="G137" s="1019" t="s">
        <v>1467</v>
      </c>
      <c r="H137" s="937">
        <v>4</v>
      </c>
      <c r="I137" s="933" t="s">
        <v>1449</v>
      </c>
      <c r="J137" s="1020">
        <v>4</v>
      </c>
      <c r="K137" s="937">
        <v>30</v>
      </c>
      <c r="L137" s="933" t="s">
        <v>1449</v>
      </c>
      <c r="M137" s="1021">
        <v>30</v>
      </c>
      <c r="N137" s="829"/>
      <c r="O137" s="932" t="s">
        <v>356</v>
      </c>
      <c r="P137" s="933" t="s">
        <v>1449</v>
      </c>
      <c r="Q137" s="1022" t="s">
        <v>356</v>
      </c>
      <c r="R137" s="935" t="s">
        <v>1467</v>
      </c>
      <c r="S137" s="933" t="s">
        <v>1449</v>
      </c>
      <c r="T137" s="1023" t="s">
        <v>1467</v>
      </c>
      <c r="U137" s="937">
        <v>4</v>
      </c>
      <c r="V137" s="933" t="s">
        <v>1449</v>
      </c>
      <c r="W137" s="1022">
        <v>4</v>
      </c>
      <c r="X137" s="937">
        <v>30</v>
      </c>
      <c r="Y137" s="933" t="s">
        <v>1449</v>
      </c>
      <c r="Z137" s="1024">
        <v>30</v>
      </c>
      <c r="AA137" s="829"/>
      <c r="AB137" s="829"/>
    </row>
    <row r="138" spans="1:28" ht="53.25">
      <c r="A138" s="829"/>
      <c r="B138" s="932" t="s">
        <v>961</v>
      </c>
      <c r="C138" s="933" t="s">
        <v>1449</v>
      </c>
      <c r="D138" s="1018" t="s">
        <v>961</v>
      </c>
      <c r="E138" s="935" t="s">
        <v>1470</v>
      </c>
      <c r="F138" s="933" t="s">
        <v>1449</v>
      </c>
      <c r="G138" s="1019" t="s">
        <v>1470</v>
      </c>
      <c r="H138" s="937">
        <v>5</v>
      </c>
      <c r="I138" s="933" t="s">
        <v>1449</v>
      </c>
      <c r="J138" s="1020">
        <v>5</v>
      </c>
      <c r="K138" s="937">
        <v>31</v>
      </c>
      <c r="L138" s="933" t="s">
        <v>1449</v>
      </c>
      <c r="M138" s="1021">
        <v>31</v>
      </c>
      <c r="N138" s="829"/>
      <c r="O138" s="932" t="s">
        <v>961</v>
      </c>
      <c r="P138" s="933" t="s">
        <v>1449</v>
      </c>
      <c r="Q138" s="1022" t="s">
        <v>961</v>
      </c>
      <c r="R138" s="935" t="s">
        <v>1470</v>
      </c>
      <c r="S138" s="933" t="s">
        <v>1449</v>
      </c>
      <c r="T138" s="1023" t="s">
        <v>1470</v>
      </c>
      <c r="U138" s="937">
        <v>5</v>
      </c>
      <c r="V138" s="933" t="s">
        <v>1449</v>
      </c>
      <c r="W138" s="1022">
        <v>5</v>
      </c>
      <c r="X138" s="937">
        <v>31</v>
      </c>
      <c r="Y138" s="933" t="s">
        <v>1449</v>
      </c>
      <c r="Z138" s="1024">
        <v>31</v>
      </c>
      <c r="AA138" s="829"/>
      <c r="AB138" s="829"/>
    </row>
    <row r="139" spans="1:28" ht="53.25">
      <c r="A139" s="829"/>
      <c r="B139" s="932" t="s">
        <v>357</v>
      </c>
      <c r="C139" s="933" t="s">
        <v>1449</v>
      </c>
      <c r="D139" s="1018" t="s">
        <v>357</v>
      </c>
      <c r="E139" s="935" t="s">
        <v>1478</v>
      </c>
      <c r="F139" s="933" t="s">
        <v>1449</v>
      </c>
      <c r="G139" s="1019" t="s">
        <v>1478</v>
      </c>
      <c r="H139" s="937">
        <v>6</v>
      </c>
      <c r="I139" s="933" t="s">
        <v>1449</v>
      </c>
      <c r="J139" s="1020">
        <v>6</v>
      </c>
      <c r="K139" s="937">
        <v>32</v>
      </c>
      <c r="L139" s="933" t="s">
        <v>1449</v>
      </c>
      <c r="M139" s="1021">
        <v>32</v>
      </c>
      <c r="N139" s="829"/>
      <c r="O139" s="932" t="s">
        <v>357</v>
      </c>
      <c r="P139" s="933" t="s">
        <v>1449</v>
      </c>
      <c r="Q139" s="1022" t="s">
        <v>357</v>
      </c>
      <c r="R139" s="935" t="s">
        <v>1478</v>
      </c>
      <c r="S139" s="933" t="s">
        <v>1449</v>
      </c>
      <c r="T139" s="1023" t="s">
        <v>1478</v>
      </c>
      <c r="U139" s="937">
        <v>6</v>
      </c>
      <c r="V139" s="933" t="s">
        <v>1449</v>
      </c>
      <c r="W139" s="1022">
        <v>6</v>
      </c>
      <c r="X139" s="937">
        <v>32</v>
      </c>
      <c r="Y139" s="933" t="s">
        <v>1449</v>
      </c>
      <c r="Z139" s="1024">
        <v>32</v>
      </c>
      <c r="AA139" s="829"/>
      <c r="AB139" s="829"/>
    </row>
    <row r="140" spans="1:28" ht="53.25">
      <c r="A140" s="829"/>
      <c r="B140" s="932" t="s">
        <v>825</v>
      </c>
      <c r="C140" s="933" t="s">
        <v>1449</v>
      </c>
      <c r="D140" s="1018" t="s">
        <v>825</v>
      </c>
      <c r="E140" s="935" t="s">
        <v>1482</v>
      </c>
      <c r="F140" s="933" t="s">
        <v>1449</v>
      </c>
      <c r="G140" s="1019" t="s">
        <v>1482</v>
      </c>
      <c r="H140" s="937">
        <v>7</v>
      </c>
      <c r="I140" s="933" t="s">
        <v>1449</v>
      </c>
      <c r="J140" s="1020">
        <v>7</v>
      </c>
      <c r="K140" s="937">
        <v>33</v>
      </c>
      <c r="L140" s="933" t="s">
        <v>1449</v>
      </c>
      <c r="M140" s="1021">
        <v>33</v>
      </c>
      <c r="N140" s="829"/>
      <c r="O140" s="932" t="s">
        <v>825</v>
      </c>
      <c r="P140" s="933" t="s">
        <v>1449</v>
      </c>
      <c r="Q140" s="1022" t="s">
        <v>825</v>
      </c>
      <c r="R140" s="935" t="s">
        <v>1482</v>
      </c>
      <c r="S140" s="933" t="s">
        <v>1449</v>
      </c>
      <c r="T140" s="1023" t="s">
        <v>1482</v>
      </c>
      <c r="U140" s="937">
        <v>7</v>
      </c>
      <c r="V140" s="933" t="s">
        <v>1449</v>
      </c>
      <c r="W140" s="1022">
        <v>7</v>
      </c>
      <c r="X140" s="937">
        <v>33</v>
      </c>
      <c r="Y140" s="933" t="s">
        <v>1449</v>
      </c>
      <c r="Z140" s="1024">
        <v>33</v>
      </c>
      <c r="AA140" s="829"/>
      <c r="AB140" s="829"/>
    </row>
    <row r="141" spans="1:28" ht="53.25">
      <c r="A141" s="829"/>
      <c r="B141" s="932" t="s">
        <v>1485</v>
      </c>
      <c r="C141" s="933" t="s">
        <v>1449</v>
      </c>
      <c r="D141" s="1018" t="s">
        <v>1485</v>
      </c>
      <c r="E141" s="935" t="s">
        <v>1486</v>
      </c>
      <c r="F141" s="933" t="s">
        <v>1449</v>
      </c>
      <c r="G141" s="1019" t="s">
        <v>1486</v>
      </c>
      <c r="H141" s="937">
        <v>8</v>
      </c>
      <c r="I141" s="933" t="s">
        <v>1449</v>
      </c>
      <c r="J141" s="1020">
        <v>8</v>
      </c>
      <c r="K141" s="937">
        <v>34</v>
      </c>
      <c r="L141" s="933" t="s">
        <v>1449</v>
      </c>
      <c r="M141" s="1021">
        <v>34</v>
      </c>
      <c r="N141" s="829"/>
      <c r="O141" s="932" t="s">
        <v>1485</v>
      </c>
      <c r="P141" s="933" t="s">
        <v>1449</v>
      </c>
      <c r="Q141" s="1022" t="s">
        <v>1485</v>
      </c>
      <c r="R141" s="935" t="s">
        <v>1486</v>
      </c>
      <c r="S141" s="933" t="s">
        <v>1449</v>
      </c>
      <c r="T141" s="1023" t="s">
        <v>1486</v>
      </c>
      <c r="U141" s="937">
        <v>8</v>
      </c>
      <c r="V141" s="933" t="s">
        <v>1449</v>
      </c>
      <c r="W141" s="1022">
        <v>8</v>
      </c>
      <c r="X141" s="937">
        <v>34</v>
      </c>
      <c r="Y141" s="933" t="s">
        <v>1449</v>
      </c>
      <c r="Z141" s="1024">
        <v>34</v>
      </c>
      <c r="AA141" s="829"/>
      <c r="AB141" s="829"/>
    </row>
    <row r="142" spans="1:28" ht="53.25">
      <c r="A142" s="829"/>
      <c r="B142" s="932" t="s">
        <v>360</v>
      </c>
      <c r="C142" s="933" t="s">
        <v>1449</v>
      </c>
      <c r="D142" s="1018" t="s">
        <v>360</v>
      </c>
      <c r="E142" s="935" t="s">
        <v>1489</v>
      </c>
      <c r="F142" s="933" t="s">
        <v>1449</v>
      </c>
      <c r="G142" s="1019" t="s">
        <v>1489</v>
      </c>
      <c r="H142" s="937">
        <v>9</v>
      </c>
      <c r="I142" s="933" t="s">
        <v>1449</v>
      </c>
      <c r="J142" s="1020">
        <v>9</v>
      </c>
      <c r="K142" s="937">
        <v>35</v>
      </c>
      <c r="L142" s="933" t="s">
        <v>1449</v>
      </c>
      <c r="M142" s="1021">
        <v>35</v>
      </c>
      <c r="N142" s="829"/>
      <c r="O142" s="932" t="s">
        <v>360</v>
      </c>
      <c r="P142" s="933" t="s">
        <v>1449</v>
      </c>
      <c r="Q142" s="1022" t="s">
        <v>360</v>
      </c>
      <c r="R142" s="935" t="s">
        <v>1489</v>
      </c>
      <c r="S142" s="933" t="s">
        <v>1449</v>
      </c>
      <c r="T142" s="1023" t="s">
        <v>1489</v>
      </c>
      <c r="U142" s="937">
        <v>9</v>
      </c>
      <c r="V142" s="933" t="s">
        <v>1449</v>
      </c>
      <c r="W142" s="1022">
        <v>9</v>
      </c>
      <c r="X142" s="937">
        <v>35</v>
      </c>
      <c r="Y142" s="933" t="s">
        <v>1449</v>
      </c>
      <c r="Z142" s="1024">
        <v>35</v>
      </c>
      <c r="AA142" s="829"/>
      <c r="AB142" s="829"/>
    </row>
    <row r="143" spans="1:28" ht="53.25">
      <c r="A143" s="829"/>
      <c r="B143" s="932" t="s">
        <v>363</v>
      </c>
      <c r="C143" s="933" t="s">
        <v>1449</v>
      </c>
      <c r="D143" s="1018" t="s">
        <v>363</v>
      </c>
      <c r="E143" s="935" t="s">
        <v>1491</v>
      </c>
      <c r="F143" s="933" t="s">
        <v>1449</v>
      </c>
      <c r="G143" s="1019" t="s">
        <v>1491</v>
      </c>
      <c r="H143" s="937">
        <v>10</v>
      </c>
      <c r="I143" s="933" t="s">
        <v>1449</v>
      </c>
      <c r="J143" s="1020">
        <v>10</v>
      </c>
      <c r="K143" s="937">
        <v>36</v>
      </c>
      <c r="L143" s="933" t="s">
        <v>1449</v>
      </c>
      <c r="M143" s="1021">
        <v>36</v>
      </c>
      <c r="N143" s="829"/>
      <c r="O143" s="932" t="s">
        <v>363</v>
      </c>
      <c r="P143" s="933" t="s">
        <v>1449</v>
      </c>
      <c r="Q143" s="1022" t="s">
        <v>363</v>
      </c>
      <c r="R143" s="935" t="s">
        <v>1491</v>
      </c>
      <c r="S143" s="933" t="s">
        <v>1449</v>
      </c>
      <c r="T143" s="1023" t="s">
        <v>1491</v>
      </c>
      <c r="U143" s="937">
        <v>10</v>
      </c>
      <c r="V143" s="933" t="s">
        <v>1449</v>
      </c>
      <c r="W143" s="1022">
        <v>10</v>
      </c>
      <c r="X143" s="937">
        <v>36</v>
      </c>
      <c r="Y143" s="933" t="s">
        <v>1449</v>
      </c>
      <c r="Z143" s="1024">
        <v>36</v>
      </c>
      <c r="AA143" s="829"/>
      <c r="AB143" s="829"/>
    </row>
    <row r="144" spans="1:28" ht="53.25">
      <c r="A144" s="829"/>
      <c r="B144" s="932" t="s">
        <v>365</v>
      </c>
      <c r="C144" s="933" t="s">
        <v>1449</v>
      </c>
      <c r="D144" s="1018" t="s">
        <v>365</v>
      </c>
      <c r="E144" s="935" t="s">
        <v>1492</v>
      </c>
      <c r="F144" s="933" t="s">
        <v>1449</v>
      </c>
      <c r="G144" s="1019" t="s">
        <v>1492</v>
      </c>
      <c r="H144" s="937">
        <v>11</v>
      </c>
      <c r="I144" s="933" t="s">
        <v>1449</v>
      </c>
      <c r="J144" s="1020">
        <v>11</v>
      </c>
      <c r="K144" s="937">
        <v>37</v>
      </c>
      <c r="L144" s="933" t="s">
        <v>1449</v>
      </c>
      <c r="M144" s="1021">
        <v>37</v>
      </c>
      <c r="N144" s="829"/>
      <c r="O144" s="932" t="s">
        <v>365</v>
      </c>
      <c r="P144" s="933" t="s">
        <v>1449</v>
      </c>
      <c r="Q144" s="1022" t="s">
        <v>365</v>
      </c>
      <c r="R144" s="935" t="s">
        <v>1492</v>
      </c>
      <c r="S144" s="933" t="s">
        <v>1449</v>
      </c>
      <c r="T144" s="1023" t="s">
        <v>1492</v>
      </c>
      <c r="U144" s="937">
        <v>11</v>
      </c>
      <c r="V144" s="933" t="s">
        <v>1449</v>
      </c>
      <c r="W144" s="1022">
        <v>11</v>
      </c>
      <c r="X144" s="937">
        <v>37</v>
      </c>
      <c r="Y144" s="933" t="s">
        <v>1449</v>
      </c>
      <c r="Z144" s="1024">
        <v>37</v>
      </c>
      <c r="AA144" s="829"/>
      <c r="AB144" s="829"/>
    </row>
    <row r="145" spans="1:28" ht="53.25">
      <c r="A145" s="829"/>
      <c r="B145" s="932" t="s">
        <v>36</v>
      </c>
      <c r="C145" s="933" t="s">
        <v>1449</v>
      </c>
      <c r="D145" s="1018" t="s">
        <v>36</v>
      </c>
      <c r="E145" s="935" t="s">
        <v>1493</v>
      </c>
      <c r="F145" s="933" t="s">
        <v>1449</v>
      </c>
      <c r="G145" s="1019" t="s">
        <v>1493</v>
      </c>
      <c r="H145" s="937">
        <v>12</v>
      </c>
      <c r="I145" s="933" t="s">
        <v>1449</v>
      </c>
      <c r="J145" s="1020">
        <v>12</v>
      </c>
      <c r="K145" s="937">
        <v>38</v>
      </c>
      <c r="L145" s="933" t="s">
        <v>1449</v>
      </c>
      <c r="M145" s="1021">
        <v>38</v>
      </c>
      <c r="N145" s="829"/>
      <c r="O145" s="932" t="s">
        <v>36</v>
      </c>
      <c r="P145" s="933" t="s">
        <v>1449</v>
      </c>
      <c r="Q145" s="1022" t="s">
        <v>36</v>
      </c>
      <c r="R145" s="935" t="s">
        <v>1493</v>
      </c>
      <c r="S145" s="933" t="s">
        <v>1449</v>
      </c>
      <c r="T145" s="1023" t="s">
        <v>1493</v>
      </c>
      <c r="U145" s="937">
        <v>12</v>
      </c>
      <c r="V145" s="933" t="s">
        <v>1449</v>
      </c>
      <c r="W145" s="1022">
        <v>12</v>
      </c>
      <c r="X145" s="937">
        <v>38</v>
      </c>
      <c r="Y145" s="933" t="s">
        <v>1449</v>
      </c>
      <c r="Z145" s="1024">
        <v>38</v>
      </c>
      <c r="AA145" s="829"/>
      <c r="AB145" s="829"/>
    </row>
    <row r="146" spans="1:28" ht="53.25">
      <c r="A146" s="829"/>
      <c r="B146" s="932" t="s">
        <v>847</v>
      </c>
      <c r="C146" s="933" t="s">
        <v>1449</v>
      </c>
      <c r="D146" s="1018" t="s">
        <v>847</v>
      </c>
      <c r="E146" s="935" t="s">
        <v>1495</v>
      </c>
      <c r="F146" s="933" t="s">
        <v>1449</v>
      </c>
      <c r="G146" s="1019" t="s">
        <v>1495</v>
      </c>
      <c r="H146" s="937">
        <v>13</v>
      </c>
      <c r="I146" s="933" t="s">
        <v>1449</v>
      </c>
      <c r="J146" s="1020">
        <v>13</v>
      </c>
      <c r="K146" s="937">
        <v>39</v>
      </c>
      <c r="L146" s="933" t="s">
        <v>1449</v>
      </c>
      <c r="M146" s="1021">
        <v>39</v>
      </c>
      <c r="N146" s="829"/>
      <c r="O146" s="932" t="s">
        <v>847</v>
      </c>
      <c r="P146" s="933" t="s">
        <v>1449</v>
      </c>
      <c r="Q146" s="1022" t="s">
        <v>847</v>
      </c>
      <c r="R146" s="935" t="s">
        <v>1495</v>
      </c>
      <c r="S146" s="933" t="s">
        <v>1449</v>
      </c>
      <c r="T146" s="1023" t="s">
        <v>1495</v>
      </c>
      <c r="U146" s="937">
        <v>13</v>
      </c>
      <c r="V146" s="933" t="s">
        <v>1449</v>
      </c>
      <c r="W146" s="1022">
        <v>13</v>
      </c>
      <c r="X146" s="937">
        <v>39</v>
      </c>
      <c r="Y146" s="933" t="s">
        <v>1449</v>
      </c>
      <c r="Z146" s="1024">
        <v>39</v>
      </c>
      <c r="AA146" s="829"/>
      <c r="AB146" s="829"/>
    </row>
    <row r="147" spans="1:28" ht="53.25">
      <c r="A147" s="829"/>
      <c r="B147" s="932" t="s">
        <v>885</v>
      </c>
      <c r="C147" s="933" t="s">
        <v>1449</v>
      </c>
      <c r="D147" s="1018" t="s">
        <v>885</v>
      </c>
      <c r="E147" s="935" t="s">
        <v>1496</v>
      </c>
      <c r="F147" s="933" t="s">
        <v>1449</v>
      </c>
      <c r="G147" s="1019" t="s">
        <v>1496</v>
      </c>
      <c r="H147" s="937">
        <v>14</v>
      </c>
      <c r="I147" s="933" t="s">
        <v>1449</v>
      </c>
      <c r="J147" s="1020">
        <v>14</v>
      </c>
      <c r="K147" s="937">
        <v>40</v>
      </c>
      <c r="L147" s="933" t="s">
        <v>1449</v>
      </c>
      <c r="M147" s="1021">
        <v>40</v>
      </c>
      <c r="N147" s="829"/>
      <c r="O147" s="932" t="s">
        <v>885</v>
      </c>
      <c r="P147" s="933" t="s">
        <v>1449</v>
      </c>
      <c r="Q147" s="1022" t="s">
        <v>885</v>
      </c>
      <c r="R147" s="935" t="s">
        <v>1496</v>
      </c>
      <c r="S147" s="933" t="s">
        <v>1449</v>
      </c>
      <c r="T147" s="1023" t="s">
        <v>1496</v>
      </c>
      <c r="U147" s="937">
        <v>14</v>
      </c>
      <c r="V147" s="933" t="s">
        <v>1449</v>
      </c>
      <c r="W147" s="1022">
        <v>14</v>
      </c>
      <c r="X147" s="937">
        <v>40</v>
      </c>
      <c r="Y147" s="933" t="s">
        <v>1449</v>
      </c>
      <c r="Z147" s="1024">
        <v>40</v>
      </c>
      <c r="AA147" s="829"/>
      <c r="AB147" s="829"/>
    </row>
    <row r="148" spans="1:28" ht="53.25">
      <c r="A148" s="829"/>
      <c r="B148" s="932" t="s">
        <v>893</v>
      </c>
      <c r="C148" s="933" t="s">
        <v>1449</v>
      </c>
      <c r="D148" s="1018" t="s">
        <v>893</v>
      </c>
      <c r="E148" s="935" t="s">
        <v>1497</v>
      </c>
      <c r="F148" s="933" t="s">
        <v>1449</v>
      </c>
      <c r="G148" s="1019" t="s">
        <v>1497</v>
      </c>
      <c r="H148" s="937">
        <v>15</v>
      </c>
      <c r="I148" s="933" t="s">
        <v>1449</v>
      </c>
      <c r="J148" s="1020">
        <v>15</v>
      </c>
      <c r="K148" s="937">
        <v>41</v>
      </c>
      <c r="L148" s="933" t="s">
        <v>1449</v>
      </c>
      <c r="M148" s="1021">
        <v>41</v>
      </c>
      <c r="N148" s="829"/>
      <c r="O148" s="932" t="s">
        <v>893</v>
      </c>
      <c r="P148" s="933" t="s">
        <v>1449</v>
      </c>
      <c r="Q148" s="1022" t="s">
        <v>893</v>
      </c>
      <c r="R148" s="935" t="s">
        <v>1497</v>
      </c>
      <c r="S148" s="933" t="s">
        <v>1449</v>
      </c>
      <c r="T148" s="1023" t="s">
        <v>1497</v>
      </c>
      <c r="U148" s="937">
        <v>15</v>
      </c>
      <c r="V148" s="933" t="s">
        <v>1449</v>
      </c>
      <c r="W148" s="1022">
        <v>15</v>
      </c>
      <c r="X148" s="937">
        <v>41</v>
      </c>
      <c r="Y148" s="933" t="s">
        <v>1449</v>
      </c>
      <c r="Z148" s="1024">
        <v>41</v>
      </c>
      <c r="AA148" s="829"/>
      <c r="AB148" s="829"/>
    </row>
    <row r="149" spans="1:28" ht="53.25">
      <c r="A149" s="829"/>
      <c r="B149" s="932" t="s">
        <v>930</v>
      </c>
      <c r="C149" s="933" t="s">
        <v>1449</v>
      </c>
      <c r="D149" s="1018" t="s">
        <v>930</v>
      </c>
      <c r="E149" s="935" t="s">
        <v>1488</v>
      </c>
      <c r="F149" s="933" t="s">
        <v>1449</v>
      </c>
      <c r="G149" s="1019" t="s">
        <v>1488</v>
      </c>
      <c r="H149" s="937">
        <v>16</v>
      </c>
      <c r="I149" s="933" t="s">
        <v>1449</v>
      </c>
      <c r="J149" s="1020">
        <v>16</v>
      </c>
      <c r="K149" s="937">
        <v>42</v>
      </c>
      <c r="L149" s="933" t="s">
        <v>1449</v>
      </c>
      <c r="M149" s="1021">
        <v>42</v>
      </c>
      <c r="N149" s="829"/>
      <c r="O149" s="932" t="s">
        <v>930</v>
      </c>
      <c r="P149" s="933" t="s">
        <v>1449</v>
      </c>
      <c r="Q149" s="1022" t="s">
        <v>930</v>
      </c>
      <c r="R149" s="935" t="s">
        <v>1488</v>
      </c>
      <c r="S149" s="933" t="s">
        <v>1449</v>
      </c>
      <c r="T149" s="1023" t="s">
        <v>1488</v>
      </c>
      <c r="U149" s="937">
        <v>16</v>
      </c>
      <c r="V149" s="933" t="s">
        <v>1449</v>
      </c>
      <c r="W149" s="1022">
        <v>16</v>
      </c>
      <c r="X149" s="937">
        <v>42</v>
      </c>
      <c r="Y149" s="933" t="s">
        <v>1449</v>
      </c>
      <c r="Z149" s="1024">
        <v>42</v>
      </c>
      <c r="AA149" s="829"/>
      <c r="AB149" s="829"/>
    </row>
    <row r="150" spans="1:28" ht="53.25">
      <c r="A150" s="829"/>
      <c r="B150" s="932" t="s">
        <v>1498</v>
      </c>
      <c r="C150" s="933" t="s">
        <v>1449</v>
      </c>
      <c r="D150" s="1018" t="s">
        <v>1498</v>
      </c>
      <c r="E150" s="935" t="s">
        <v>1484</v>
      </c>
      <c r="F150" s="933" t="s">
        <v>1449</v>
      </c>
      <c r="G150" s="1019" t="s">
        <v>1484</v>
      </c>
      <c r="H150" s="937">
        <v>17</v>
      </c>
      <c r="I150" s="933" t="s">
        <v>1449</v>
      </c>
      <c r="J150" s="1020">
        <v>17</v>
      </c>
      <c r="K150" s="937">
        <v>43</v>
      </c>
      <c r="L150" s="933" t="s">
        <v>1449</v>
      </c>
      <c r="M150" s="1021">
        <v>43</v>
      </c>
      <c r="N150" s="829"/>
      <c r="O150" s="932" t="s">
        <v>1498</v>
      </c>
      <c r="P150" s="933" t="s">
        <v>1449</v>
      </c>
      <c r="Q150" s="1022" t="s">
        <v>1498</v>
      </c>
      <c r="R150" s="935" t="s">
        <v>1484</v>
      </c>
      <c r="S150" s="933" t="s">
        <v>1449</v>
      </c>
      <c r="T150" s="1023" t="s">
        <v>1484</v>
      </c>
      <c r="U150" s="937">
        <v>17</v>
      </c>
      <c r="V150" s="933" t="s">
        <v>1449</v>
      </c>
      <c r="W150" s="1022">
        <v>17</v>
      </c>
      <c r="X150" s="937">
        <v>43</v>
      </c>
      <c r="Y150" s="933" t="s">
        <v>1449</v>
      </c>
      <c r="Z150" s="1024">
        <v>43</v>
      </c>
      <c r="AA150" s="829"/>
      <c r="AB150" s="829"/>
    </row>
    <row r="151" spans="1:28" ht="53.25">
      <c r="A151" s="829"/>
      <c r="B151" s="932" t="s">
        <v>826</v>
      </c>
      <c r="C151" s="933" t="s">
        <v>1449</v>
      </c>
      <c r="D151" s="1018" t="s">
        <v>826</v>
      </c>
      <c r="E151" s="935" t="s">
        <v>1499</v>
      </c>
      <c r="F151" s="933" t="s">
        <v>1449</v>
      </c>
      <c r="G151" s="1019" t="s">
        <v>1499</v>
      </c>
      <c r="H151" s="937">
        <v>18</v>
      </c>
      <c r="I151" s="933" t="s">
        <v>1449</v>
      </c>
      <c r="J151" s="1020">
        <v>18</v>
      </c>
      <c r="K151" s="937">
        <v>44</v>
      </c>
      <c r="L151" s="933" t="s">
        <v>1449</v>
      </c>
      <c r="M151" s="1021">
        <v>44</v>
      </c>
      <c r="N151" s="829"/>
      <c r="O151" s="932" t="s">
        <v>826</v>
      </c>
      <c r="P151" s="933" t="s">
        <v>1449</v>
      </c>
      <c r="Q151" s="1022" t="s">
        <v>826</v>
      </c>
      <c r="R151" s="935" t="s">
        <v>1499</v>
      </c>
      <c r="S151" s="933" t="s">
        <v>1449</v>
      </c>
      <c r="T151" s="1023" t="s">
        <v>1499</v>
      </c>
      <c r="U151" s="937">
        <v>18</v>
      </c>
      <c r="V151" s="933" t="s">
        <v>1449</v>
      </c>
      <c r="W151" s="1022">
        <v>18</v>
      </c>
      <c r="X151" s="937">
        <v>44</v>
      </c>
      <c r="Y151" s="933" t="s">
        <v>1449</v>
      </c>
      <c r="Z151" s="1024">
        <v>44</v>
      </c>
      <c r="AA151" s="829"/>
      <c r="AB151" s="829"/>
    </row>
    <row r="152" spans="1:28" ht="53.25">
      <c r="A152" s="829"/>
      <c r="B152" s="932" t="s">
        <v>367</v>
      </c>
      <c r="C152" s="933" t="s">
        <v>1449</v>
      </c>
      <c r="D152" s="1018" t="s">
        <v>367</v>
      </c>
      <c r="E152" s="935" t="s">
        <v>1500</v>
      </c>
      <c r="F152" s="933" t="s">
        <v>1449</v>
      </c>
      <c r="G152" s="1019" t="s">
        <v>1500</v>
      </c>
      <c r="H152" s="937">
        <v>19</v>
      </c>
      <c r="I152" s="933" t="s">
        <v>1449</v>
      </c>
      <c r="J152" s="1020">
        <v>19</v>
      </c>
      <c r="K152" s="937">
        <v>45</v>
      </c>
      <c r="L152" s="933" t="s">
        <v>1449</v>
      </c>
      <c r="M152" s="1021">
        <v>45</v>
      </c>
      <c r="N152" s="829"/>
      <c r="O152" s="932" t="s">
        <v>367</v>
      </c>
      <c r="P152" s="933" t="s">
        <v>1449</v>
      </c>
      <c r="Q152" s="1022" t="s">
        <v>367</v>
      </c>
      <c r="R152" s="935" t="s">
        <v>1500</v>
      </c>
      <c r="S152" s="933" t="s">
        <v>1449</v>
      </c>
      <c r="T152" s="1023" t="s">
        <v>1500</v>
      </c>
      <c r="U152" s="937">
        <v>19</v>
      </c>
      <c r="V152" s="933" t="s">
        <v>1449</v>
      </c>
      <c r="W152" s="1022">
        <v>19</v>
      </c>
      <c r="X152" s="937">
        <v>45</v>
      </c>
      <c r="Y152" s="933" t="s">
        <v>1449</v>
      </c>
      <c r="Z152" s="1024">
        <v>45</v>
      </c>
      <c r="AA152" s="829"/>
      <c r="AB152" s="829"/>
    </row>
    <row r="153" spans="1:28" ht="53.25">
      <c r="A153" s="829"/>
      <c r="B153" s="932" t="s">
        <v>905</v>
      </c>
      <c r="C153" s="933" t="s">
        <v>1449</v>
      </c>
      <c r="D153" s="1018" t="s">
        <v>905</v>
      </c>
      <c r="E153" s="935" t="s">
        <v>1481</v>
      </c>
      <c r="F153" s="933" t="s">
        <v>1449</v>
      </c>
      <c r="G153" s="1019" t="s">
        <v>1481</v>
      </c>
      <c r="H153" s="937">
        <v>20</v>
      </c>
      <c r="I153" s="933" t="s">
        <v>1449</v>
      </c>
      <c r="J153" s="1020">
        <v>20</v>
      </c>
      <c r="K153" s="937">
        <v>46</v>
      </c>
      <c r="L153" s="933" t="s">
        <v>1449</v>
      </c>
      <c r="M153" s="1021">
        <v>46</v>
      </c>
      <c r="N153" s="829"/>
      <c r="O153" s="932" t="s">
        <v>905</v>
      </c>
      <c r="P153" s="933" t="s">
        <v>1449</v>
      </c>
      <c r="Q153" s="1022" t="s">
        <v>905</v>
      </c>
      <c r="R153" s="935" t="s">
        <v>1481</v>
      </c>
      <c r="S153" s="933" t="s">
        <v>1449</v>
      </c>
      <c r="T153" s="1023" t="s">
        <v>1481</v>
      </c>
      <c r="U153" s="937">
        <v>20</v>
      </c>
      <c r="V153" s="933" t="s">
        <v>1449</v>
      </c>
      <c r="W153" s="1022">
        <v>20</v>
      </c>
      <c r="X153" s="937">
        <v>46</v>
      </c>
      <c r="Y153" s="933" t="s">
        <v>1449</v>
      </c>
      <c r="Z153" s="1024">
        <v>46</v>
      </c>
      <c r="AA153" s="829"/>
      <c r="AB153" s="829"/>
    </row>
    <row r="154" spans="1:28" ht="53.25">
      <c r="A154" s="829"/>
      <c r="B154" s="932" t="s">
        <v>1501</v>
      </c>
      <c r="C154" s="933" t="s">
        <v>1449</v>
      </c>
      <c r="D154" s="1018" t="s">
        <v>1501</v>
      </c>
      <c r="E154" s="935" t="s">
        <v>1487</v>
      </c>
      <c r="F154" s="933" t="s">
        <v>1449</v>
      </c>
      <c r="G154" s="1019" t="s">
        <v>1487</v>
      </c>
      <c r="H154" s="937">
        <v>21</v>
      </c>
      <c r="I154" s="933" t="s">
        <v>1449</v>
      </c>
      <c r="J154" s="1020">
        <v>21</v>
      </c>
      <c r="K154" s="937">
        <v>47</v>
      </c>
      <c r="L154" s="933" t="s">
        <v>1449</v>
      </c>
      <c r="M154" s="1021">
        <v>47</v>
      </c>
      <c r="N154" s="829"/>
      <c r="O154" s="932" t="s">
        <v>1501</v>
      </c>
      <c r="P154" s="933" t="s">
        <v>1449</v>
      </c>
      <c r="Q154" s="1022" t="s">
        <v>1501</v>
      </c>
      <c r="R154" s="935" t="s">
        <v>1487</v>
      </c>
      <c r="S154" s="933" t="s">
        <v>1449</v>
      </c>
      <c r="T154" s="1023" t="s">
        <v>1487</v>
      </c>
      <c r="U154" s="937">
        <v>21</v>
      </c>
      <c r="V154" s="933" t="s">
        <v>1449</v>
      </c>
      <c r="W154" s="1022">
        <v>21</v>
      </c>
      <c r="X154" s="937">
        <v>47</v>
      </c>
      <c r="Y154" s="933" t="s">
        <v>1449</v>
      </c>
      <c r="Z154" s="1024">
        <v>47</v>
      </c>
      <c r="AA154" s="829"/>
      <c r="AB154" s="829"/>
    </row>
    <row r="155" spans="1:28" ht="53.25">
      <c r="A155" s="829"/>
      <c r="B155" s="932" t="s">
        <v>943</v>
      </c>
      <c r="C155" s="933" t="s">
        <v>1449</v>
      </c>
      <c r="D155" s="1018" t="s">
        <v>943</v>
      </c>
      <c r="E155" s="935" t="s">
        <v>1502</v>
      </c>
      <c r="F155" s="933" t="s">
        <v>1449</v>
      </c>
      <c r="G155" s="1019" t="s">
        <v>1502</v>
      </c>
      <c r="H155" s="937">
        <v>22</v>
      </c>
      <c r="I155" s="933" t="s">
        <v>1449</v>
      </c>
      <c r="J155" s="1020">
        <v>22</v>
      </c>
      <c r="K155" s="937">
        <v>48</v>
      </c>
      <c r="L155" s="933" t="s">
        <v>1449</v>
      </c>
      <c r="M155" s="1021">
        <v>48</v>
      </c>
      <c r="N155" s="829"/>
      <c r="O155" s="932" t="s">
        <v>943</v>
      </c>
      <c r="P155" s="933" t="s">
        <v>1449</v>
      </c>
      <c r="Q155" s="1022" t="s">
        <v>943</v>
      </c>
      <c r="R155" s="935" t="s">
        <v>1502</v>
      </c>
      <c r="S155" s="933" t="s">
        <v>1449</v>
      </c>
      <c r="T155" s="1023" t="s">
        <v>1502</v>
      </c>
      <c r="U155" s="937">
        <v>22</v>
      </c>
      <c r="V155" s="933" t="s">
        <v>1449</v>
      </c>
      <c r="W155" s="1022">
        <v>22</v>
      </c>
      <c r="X155" s="937">
        <v>48</v>
      </c>
      <c r="Y155" s="933" t="s">
        <v>1449</v>
      </c>
      <c r="Z155" s="1024">
        <v>48</v>
      </c>
      <c r="AA155" s="829"/>
      <c r="AB155" s="829"/>
    </row>
    <row r="156" spans="1:28" ht="53.25">
      <c r="A156" s="829"/>
      <c r="B156" s="932" t="s">
        <v>1503</v>
      </c>
      <c r="C156" s="933" t="s">
        <v>1449</v>
      </c>
      <c r="D156" s="1018" t="s">
        <v>1503</v>
      </c>
      <c r="E156" s="935" t="s">
        <v>1504</v>
      </c>
      <c r="F156" s="933" t="s">
        <v>1449</v>
      </c>
      <c r="G156" s="1019" t="s">
        <v>1504</v>
      </c>
      <c r="H156" s="937">
        <v>23</v>
      </c>
      <c r="I156" s="933" t="s">
        <v>1449</v>
      </c>
      <c r="J156" s="1020">
        <v>23</v>
      </c>
      <c r="K156" s="937">
        <v>49</v>
      </c>
      <c r="L156" s="933" t="s">
        <v>1449</v>
      </c>
      <c r="M156" s="1021">
        <v>49</v>
      </c>
      <c r="N156" s="829"/>
      <c r="O156" s="932" t="s">
        <v>1503</v>
      </c>
      <c r="P156" s="933" t="s">
        <v>1449</v>
      </c>
      <c r="Q156" s="1022" t="s">
        <v>1503</v>
      </c>
      <c r="R156" s="935" t="s">
        <v>1504</v>
      </c>
      <c r="S156" s="933" t="s">
        <v>1449</v>
      </c>
      <c r="T156" s="1023" t="s">
        <v>1504</v>
      </c>
      <c r="U156" s="937">
        <v>23</v>
      </c>
      <c r="V156" s="933" t="s">
        <v>1449</v>
      </c>
      <c r="W156" s="1022">
        <v>23</v>
      </c>
      <c r="X156" s="937">
        <v>49</v>
      </c>
      <c r="Y156" s="933" t="s">
        <v>1449</v>
      </c>
      <c r="Z156" s="1024">
        <v>49</v>
      </c>
      <c r="AA156" s="829"/>
      <c r="AB156" s="829"/>
    </row>
    <row r="157" spans="1:28" ht="53.25">
      <c r="A157" s="829"/>
      <c r="B157" s="932" t="s">
        <v>1480</v>
      </c>
      <c r="C157" s="933" t="s">
        <v>1449</v>
      </c>
      <c r="D157" s="1018" t="s">
        <v>1480</v>
      </c>
      <c r="E157" s="935" t="s">
        <v>1505</v>
      </c>
      <c r="F157" s="933" t="s">
        <v>1449</v>
      </c>
      <c r="G157" s="1019" t="s">
        <v>1505</v>
      </c>
      <c r="H157" s="937">
        <v>24</v>
      </c>
      <c r="I157" s="933" t="s">
        <v>1449</v>
      </c>
      <c r="J157" s="1020">
        <v>24</v>
      </c>
      <c r="K157" s="937">
        <v>50</v>
      </c>
      <c r="L157" s="933" t="s">
        <v>1449</v>
      </c>
      <c r="M157" s="1021">
        <v>50</v>
      </c>
      <c r="N157" s="829"/>
      <c r="O157" s="932" t="s">
        <v>1480</v>
      </c>
      <c r="P157" s="933" t="s">
        <v>1449</v>
      </c>
      <c r="Q157" s="1022" t="s">
        <v>1480</v>
      </c>
      <c r="R157" s="935" t="s">
        <v>1505</v>
      </c>
      <c r="S157" s="933" t="s">
        <v>1449</v>
      </c>
      <c r="T157" s="1023" t="s">
        <v>1505</v>
      </c>
      <c r="U157" s="937">
        <v>24</v>
      </c>
      <c r="V157" s="933" t="s">
        <v>1449</v>
      </c>
      <c r="W157" s="1022">
        <v>24</v>
      </c>
      <c r="X157" s="937">
        <v>50</v>
      </c>
      <c r="Y157" s="933" t="s">
        <v>1449</v>
      </c>
      <c r="Z157" s="1024">
        <v>50</v>
      </c>
      <c r="AA157" s="829"/>
      <c r="AB157" s="829"/>
    </row>
    <row r="158" spans="1:28" ht="53.25">
      <c r="A158" s="829"/>
      <c r="B158" s="932" t="s">
        <v>1507</v>
      </c>
      <c r="C158" s="933" t="s">
        <v>1449</v>
      </c>
      <c r="D158" s="1018" t="s">
        <v>1507</v>
      </c>
      <c r="E158" s="935" t="s">
        <v>1508</v>
      </c>
      <c r="F158" s="933" t="s">
        <v>1449</v>
      </c>
      <c r="G158" s="1019" t="s">
        <v>1508</v>
      </c>
      <c r="H158" s="937">
        <v>25</v>
      </c>
      <c r="I158" s="933" t="s">
        <v>1449</v>
      </c>
      <c r="J158" s="1020">
        <v>25</v>
      </c>
      <c r="K158" s="937">
        <v>51</v>
      </c>
      <c r="L158" s="933" t="s">
        <v>1449</v>
      </c>
      <c r="M158" s="1021">
        <v>51</v>
      </c>
      <c r="N158" s="829"/>
      <c r="O158" s="932" t="s">
        <v>1507</v>
      </c>
      <c r="P158" s="933" t="s">
        <v>1449</v>
      </c>
      <c r="Q158" s="1022" t="s">
        <v>1507</v>
      </c>
      <c r="R158" s="935" t="s">
        <v>1508</v>
      </c>
      <c r="S158" s="933" t="s">
        <v>1449</v>
      </c>
      <c r="T158" s="1023" t="s">
        <v>1508</v>
      </c>
      <c r="U158" s="937">
        <v>25</v>
      </c>
      <c r="V158" s="933" t="s">
        <v>1449</v>
      </c>
      <c r="W158" s="1022">
        <v>25</v>
      </c>
      <c r="X158" s="937">
        <v>51</v>
      </c>
      <c r="Y158" s="933" t="s">
        <v>1449</v>
      </c>
      <c r="Z158" s="1024">
        <v>51</v>
      </c>
      <c r="AA158" s="829"/>
      <c r="AB158" s="829"/>
    </row>
    <row r="159" spans="1:28" ht="53.25">
      <c r="A159" s="829"/>
      <c r="B159" s="932" t="s">
        <v>1483</v>
      </c>
      <c r="C159" s="933" t="s">
        <v>1449</v>
      </c>
      <c r="D159" s="1018" t="s">
        <v>1483</v>
      </c>
      <c r="E159" s="935" t="s">
        <v>1510</v>
      </c>
      <c r="F159" s="933" t="s">
        <v>1449</v>
      </c>
      <c r="G159" s="1019" t="s">
        <v>1510</v>
      </c>
      <c r="H159" s="937">
        <v>26</v>
      </c>
      <c r="I159" s="933" t="s">
        <v>1449</v>
      </c>
      <c r="J159" s="1020">
        <v>26</v>
      </c>
      <c r="K159" s="937">
        <v>52</v>
      </c>
      <c r="L159" s="933" t="s">
        <v>1449</v>
      </c>
      <c r="M159" s="1021">
        <v>52</v>
      </c>
      <c r="N159" s="829"/>
      <c r="O159" s="932" t="s">
        <v>1483</v>
      </c>
      <c r="P159" s="933" t="s">
        <v>1449</v>
      </c>
      <c r="Q159" s="1022" t="s">
        <v>1483</v>
      </c>
      <c r="R159" s="935" t="s">
        <v>1510</v>
      </c>
      <c r="S159" s="933" t="s">
        <v>1449</v>
      </c>
      <c r="T159" s="1023" t="s">
        <v>1510</v>
      </c>
      <c r="U159" s="937">
        <v>26</v>
      </c>
      <c r="V159" s="933" t="s">
        <v>1449</v>
      </c>
      <c r="W159" s="1022">
        <v>26</v>
      </c>
      <c r="X159" s="937">
        <v>52</v>
      </c>
      <c r="Y159" s="933" t="s">
        <v>1449</v>
      </c>
      <c r="Z159" s="1024">
        <v>52</v>
      </c>
      <c r="AA159" s="829"/>
      <c r="AB159" s="829"/>
    </row>
    <row r="160" spans="1:28" ht="53.25">
      <c r="A160" s="829"/>
      <c r="B160" s="932" t="s">
        <v>1512</v>
      </c>
      <c r="C160" s="933" t="s">
        <v>1449</v>
      </c>
      <c r="D160" s="1018" t="s">
        <v>1512</v>
      </c>
      <c r="E160" s="935" t="s">
        <v>21</v>
      </c>
      <c r="F160" s="933" t="s">
        <v>1449</v>
      </c>
      <c r="G160" s="1019" t="s">
        <v>21</v>
      </c>
      <c r="H160" s="937" t="s">
        <v>1513</v>
      </c>
      <c r="I160" s="933" t="s">
        <v>1449</v>
      </c>
      <c r="J160" s="1020" t="s">
        <v>1513</v>
      </c>
      <c r="K160" s="937" t="s">
        <v>1514</v>
      </c>
      <c r="L160" s="933" t="s">
        <v>1449</v>
      </c>
      <c r="M160" s="1021" t="s">
        <v>1514</v>
      </c>
      <c r="N160" s="829"/>
      <c r="O160" s="932" t="s">
        <v>1512</v>
      </c>
      <c r="P160" s="933" t="s">
        <v>1449</v>
      </c>
      <c r="Q160" s="1022" t="s">
        <v>1512</v>
      </c>
      <c r="R160" s="935" t="s">
        <v>21</v>
      </c>
      <c r="S160" s="933" t="s">
        <v>1449</v>
      </c>
      <c r="T160" s="1023" t="s">
        <v>21</v>
      </c>
      <c r="U160" s="937" t="s">
        <v>1513</v>
      </c>
      <c r="V160" s="933" t="s">
        <v>1449</v>
      </c>
      <c r="W160" s="1022" t="s">
        <v>1513</v>
      </c>
      <c r="X160" s="937" t="s">
        <v>1514</v>
      </c>
      <c r="Y160" s="933" t="s">
        <v>1449</v>
      </c>
      <c r="Z160" s="1024" t="s">
        <v>1514</v>
      </c>
      <c r="AA160" s="829"/>
      <c r="AB160" s="829"/>
    </row>
    <row r="161" spans="1:28" ht="53.25">
      <c r="A161" s="829"/>
      <c r="B161" s="932" t="s">
        <v>1515</v>
      </c>
      <c r="C161" s="933" t="s">
        <v>1449</v>
      </c>
      <c r="D161" s="1018" t="s">
        <v>1515</v>
      </c>
      <c r="E161" s="935" t="s">
        <v>1516</v>
      </c>
      <c r="F161" s="933" t="s">
        <v>1449</v>
      </c>
      <c r="G161" s="1019" t="s">
        <v>1516</v>
      </c>
      <c r="H161" s="937" t="s">
        <v>226</v>
      </c>
      <c r="I161" s="933" t="s">
        <v>1449</v>
      </c>
      <c r="J161" s="1020" t="s">
        <v>226</v>
      </c>
      <c r="K161" s="937" t="s">
        <v>1517</v>
      </c>
      <c r="L161" s="933" t="s">
        <v>1449</v>
      </c>
      <c r="M161" s="1021" t="s">
        <v>1517</v>
      </c>
      <c r="N161" s="829"/>
      <c r="O161" s="932" t="s">
        <v>1515</v>
      </c>
      <c r="P161" s="933" t="s">
        <v>1449</v>
      </c>
      <c r="Q161" s="1022" t="s">
        <v>1515</v>
      </c>
      <c r="R161" s="935" t="s">
        <v>1516</v>
      </c>
      <c r="S161" s="933" t="s">
        <v>1449</v>
      </c>
      <c r="T161" s="1023" t="s">
        <v>1516</v>
      </c>
      <c r="U161" s="937" t="s">
        <v>226</v>
      </c>
      <c r="V161" s="933" t="s">
        <v>1449</v>
      </c>
      <c r="W161" s="1022" t="s">
        <v>226</v>
      </c>
      <c r="X161" s="937" t="s">
        <v>1517</v>
      </c>
      <c r="Y161" s="933" t="s">
        <v>1449</v>
      </c>
      <c r="Z161" s="1024" t="s">
        <v>1517</v>
      </c>
      <c r="AA161" s="829"/>
      <c r="AB161" s="829"/>
    </row>
    <row r="162" spans="1:28" ht="53.25">
      <c r="A162" s="829"/>
      <c r="B162" s="932" t="s">
        <v>1519</v>
      </c>
      <c r="C162" s="933" t="s">
        <v>1449</v>
      </c>
      <c r="D162" s="1018" t="s">
        <v>1519</v>
      </c>
      <c r="E162" s="935" t="s">
        <v>1520</v>
      </c>
      <c r="F162" s="933" t="s">
        <v>1449</v>
      </c>
      <c r="G162" s="1019" t="s">
        <v>1520</v>
      </c>
      <c r="H162" s="937" t="s">
        <v>1521</v>
      </c>
      <c r="I162" s="933" t="s">
        <v>1449</v>
      </c>
      <c r="J162" s="1020" t="s">
        <v>1521</v>
      </c>
      <c r="K162" s="937" t="s">
        <v>1522</v>
      </c>
      <c r="L162" s="933" t="s">
        <v>1449</v>
      </c>
      <c r="M162" s="1021" t="s">
        <v>1522</v>
      </c>
      <c r="N162" s="829"/>
      <c r="O162" s="932" t="s">
        <v>1519</v>
      </c>
      <c r="P162" s="933" t="s">
        <v>1449</v>
      </c>
      <c r="Q162" s="1022" t="s">
        <v>1519</v>
      </c>
      <c r="R162" s="935" t="s">
        <v>1520</v>
      </c>
      <c r="S162" s="933" t="s">
        <v>1449</v>
      </c>
      <c r="T162" s="1023" t="s">
        <v>1520</v>
      </c>
      <c r="U162" s="937" t="s">
        <v>1521</v>
      </c>
      <c r="V162" s="933" t="s">
        <v>1449</v>
      </c>
      <c r="W162" s="1022" t="s">
        <v>1521</v>
      </c>
      <c r="X162" s="937" t="s">
        <v>1522</v>
      </c>
      <c r="Y162" s="933" t="s">
        <v>1449</v>
      </c>
      <c r="Z162" s="1024" t="s">
        <v>1522</v>
      </c>
      <c r="AA162" s="829"/>
      <c r="AB162" s="829"/>
    </row>
    <row r="163" spans="1:28" ht="53.25">
      <c r="A163" s="829"/>
      <c r="B163" s="932" t="s">
        <v>1524</v>
      </c>
      <c r="C163" s="933" t="s">
        <v>1449</v>
      </c>
      <c r="D163" s="1018" t="s">
        <v>1524</v>
      </c>
      <c r="E163" s="935" t="s">
        <v>1525</v>
      </c>
      <c r="F163" s="933" t="s">
        <v>1449</v>
      </c>
      <c r="G163" s="1019" t="s">
        <v>1525</v>
      </c>
      <c r="H163" s="937" t="s">
        <v>70</v>
      </c>
      <c r="I163" s="933" t="s">
        <v>1449</v>
      </c>
      <c r="J163" s="1020" t="s">
        <v>70</v>
      </c>
      <c r="K163" s="937" t="s">
        <v>2</v>
      </c>
      <c r="L163" s="933" t="s">
        <v>1449</v>
      </c>
      <c r="M163" s="1021" t="s">
        <v>2</v>
      </c>
      <c r="N163" s="829"/>
      <c r="O163" s="932" t="s">
        <v>1524</v>
      </c>
      <c r="P163" s="933" t="s">
        <v>1449</v>
      </c>
      <c r="Q163" s="1022" t="s">
        <v>1524</v>
      </c>
      <c r="R163" s="935" t="s">
        <v>1525</v>
      </c>
      <c r="S163" s="933" t="s">
        <v>1449</v>
      </c>
      <c r="T163" s="1023" t="s">
        <v>1525</v>
      </c>
      <c r="U163" s="937" t="s">
        <v>70</v>
      </c>
      <c r="V163" s="933" t="s">
        <v>1449</v>
      </c>
      <c r="W163" s="1022" t="s">
        <v>70</v>
      </c>
      <c r="X163" s="937" t="s">
        <v>2</v>
      </c>
      <c r="Y163" s="933" t="s">
        <v>1449</v>
      </c>
      <c r="Z163" s="1024" t="s">
        <v>2</v>
      </c>
      <c r="AA163" s="829"/>
      <c r="AB163" s="829"/>
    </row>
    <row r="164" spans="1:28" ht="53.25">
      <c r="A164" s="829"/>
      <c r="B164" s="932" t="s">
        <v>1526</v>
      </c>
      <c r="C164" s="933" t="s">
        <v>1449</v>
      </c>
      <c r="D164" s="1018" t="s">
        <v>1526</v>
      </c>
      <c r="E164" s="935" t="s">
        <v>1527</v>
      </c>
      <c r="F164" s="933" t="s">
        <v>1449</v>
      </c>
      <c r="G164" s="1019" t="s">
        <v>1527</v>
      </c>
      <c r="H164" s="937" t="s">
        <v>1528</v>
      </c>
      <c r="I164" s="933" t="s">
        <v>1449</v>
      </c>
      <c r="J164" s="1020" t="s">
        <v>1528</v>
      </c>
      <c r="K164" s="937" t="s">
        <v>1529</v>
      </c>
      <c r="L164" s="933" t="s">
        <v>1449</v>
      </c>
      <c r="M164" s="1021" t="s">
        <v>1529</v>
      </c>
      <c r="N164" s="829"/>
      <c r="O164" s="932" t="s">
        <v>1526</v>
      </c>
      <c r="P164" s="933" t="s">
        <v>1449</v>
      </c>
      <c r="Q164" s="1022" t="s">
        <v>1526</v>
      </c>
      <c r="R164" s="935" t="s">
        <v>1527</v>
      </c>
      <c r="S164" s="933" t="s">
        <v>1449</v>
      </c>
      <c r="T164" s="1023" t="s">
        <v>1527</v>
      </c>
      <c r="U164" s="937" t="s">
        <v>1528</v>
      </c>
      <c r="V164" s="933" t="s">
        <v>1449</v>
      </c>
      <c r="W164" s="1022" t="s">
        <v>1528</v>
      </c>
      <c r="X164" s="937" t="s">
        <v>1529</v>
      </c>
      <c r="Y164" s="933" t="s">
        <v>1449</v>
      </c>
      <c r="Z164" s="1024" t="s">
        <v>1529</v>
      </c>
      <c r="AA164" s="829"/>
      <c r="AB164" s="829"/>
    </row>
    <row r="165" spans="1:28" ht="53.25">
      <c r="A165" s="829"/>
      <c r="B165" s="932" t="s">
        <v>1531</v>
      </c>
      <c r="C165" s="933" t="s">
        <v>1449</v>
      </c>
      <c r="D165" s="1018" t="s">
        <v>1531</v>
      </c>
      <c r="E165" s="935" t="s">
        <v>1532</v>
      </c>
      <c r="F165" s="933" t="s">
        <v>1449</v>
      </c>
      <c r="G165" s="1019" t="s">
        <v>1532</v>
      </c>
      <c r="H165" s="937" t="s">
        <v>1533</v>
      </c>
      <c r="I165" s="933" t="s">
        <v>1449</v>
      </c>
      <c r="J165" s="1020" t="s">
        <v>1533</v>
      </c>
      <c r="K165" s="937" t="s">
        <v>1534</v>
      </c>
      <c r="L165" s="933" t="s">
        <v>1449</v>
      </c>
      <c r="M165" s="1021" t="s">
        <v>1534</v>
      </c>
      <c r="N165" s="829"/>
      <c r="O165" s="932" t="s">
        <v>1531</v>
      </c>
      <c r="P165" s="933" t="s">
        <v>1449</v>
      </c>
      <c r="Q165" s="1022" t="s">
        <v>1531</v>
      </c>
      <c r="R165" s="935" t="s">
        <v>1532</v>
      </c>
      <c r="S165" s="933" t="s">
        <v>1449</v>
      </c>
      <c r="T165" s="1023" t="s">
        <v>1532</v>
      </c>
      <c r="U165" s="937" t="s">
        <v>1533</v>
      </c>
      <c r="V165" s="933" t="s">
        <v>1449</v>
      </c>
      <c r="W165" s="1022" t="s">
        <v>1533</v>
      </c>
      <c r="X165" s="937" t="s">
        <v>1534</v>
      </c>
      <c r="Y165" s="933" t="s">
        <v>1449</v>
      </c>
      <c r="Z165" s="1024" t="s">
        <v>1534</v>
      </c>
      <c r="AA165" s="829"/>
      <c r="AB165" s="829"/>
    </row>
    <row r="166" spans="1:28" ht="53.25">
      <c r="A166" s="829"/>
      <c r="B166" s="932" t="s">
        <v>1536</v>
      </c>
      <c r="C166" s="933" t="s">
        <v>1449</v>
      </c>
      <c r="D166" s="1018" t="s">
        <v>1536</v>
      </c>
      <c r="E166" s="935" t="s">
        <v>1537</v>
      </c>
      <c r="F166" s="933" t="s">
        <v>1449</v>
      </c>
      <c r="G166" s="1019" t="s">
        <v>1537</v>
      </c>
      <c r="H166" s="937" t="s">
        <v>1538</v>
      </c>
      <c r="I166" s="933" t="s">
        <v>1449</v>
      </c>
      <c r="J166" s="1020" t="s">
        <v>1538</v>
      </c>
      <c r="K166" s="937" t="s">
        <v>1539</v>
      </c>
      <c r="L166" s="933" t="s">
        <v>1449</v>
      </c>
      <c r="M166" s="1021" t="s">
        <v>1539</v>
      </c>
      <c r="N166" s="829"/>
      <c r="O166" s="932" t="s">
        <v>1536</v>
      </c>
      <c r="P166" s="933" t="s">
        <v>1449</v>
      </c>
      <c r="Q166" s="1022" t="s">
        <v>1536</v>
      </c>
      <c r="R166" s="935" t="s">
        <v>1537</v>
      </c>
      <c r="S166" s="933" t="s">
        <v>1449</v>
      </c>
      <c r="T166" s="1023" t="s">
        <v>1537</v>
      </c>
      <c r="U166" s="937" t="s">
        <v>1538</v>
      </c>
      <c r="V166" s="933" t="s">
        <v>1449</v>
      </c>
      <c r="W166" s="1022" t="s">
        <v>1538</v>
      </c>
      <c r="X166" s="937" t="s">
        <v>1539</v>
      </c>
      <c r="Y166" s="933" t="s">
        <v>1449</v>
      </c>
      <c r="Z166" s="1024" t="s">
        <v>1539</v>
      </c>
      <c r="AA166" s="829"/>
      <c r="AB166" s="829"/>
    </row>
    <row r="167" spans="1:28" ht="53.25">
      <c r="A167" s="829"/>
      <c r="B167" s="932" t="s">
        <v>1540</v>
      </c>
      <c r="C167" s="933" t="s">
        <v>1449</v>
      </c>
      <c r="D167" s="1018" t="s">
        <v>1540</v>
      </c>
      <c r="E167" s="935" t="s">
        <v>1541</v>
      </c>
      <c r="F167" s="933" t="s">
        <v>1449</v>
      </c>
      <c r="G167" s="1019" t="s">
        <v>1541</v>
      </c>
      <c r="H167" s="937" t="s">
        <v>1542</v>
      </c>
      <c r="I167" s="933" t="s">
        <v>1449</v>
      </c>
      <c r="J167" s="1020" t="s">
        <v>1542</v>
      </c>
      <c r="K167" s="937" t="s">
        <v>44</v>
      </c>
      <c r="L167" s="933" t="s">
        <v>1449</v>
      </c>
      <c r="M167" s="1021" t="s">
        <v>44</v>
      </c>
      <c r="N167" s="829"/>
      <c r="O167" s="932" t="s">
        <v>1540</v>
      </c>
      <c r="P167" s="933" t="s">
        <v>1449</v>
      </c>
      <c r="Q167" s="1022" t="s">
        <v>1540</v>
      </c>
      <c r="R167" s="935" t="s">
        <v>1541</v>
      </c>
      <c r="S167" s="933" t="s">
        <v>1449</v>
      </c>
      <c r="T167" s="1023" t="s">
        <v>1541</v>
      </c>
      <c r="U167" s="937" t="s">
        <v>1542</v>
      </c>
      <c r="V167" s="933" t="s">
        <v>1449</v>
      </c>
      <c r="W167" s="1022" t="s">
        <v>1542</v>
      </c>
      <c r="X167" s="937" t="s">
        <v>44</v>
      </c>
      <c r="Y167" s="933" t="s">
        <v>1449</v>
      </c>
      <c r="Z167" s="1024" t="s">
        <v>44</v>
      </c>
      <c r="AA167" s="829"/>
      <c r="AB167" s="829"/>
    </row>
    <row r="168" spans="1:28" ht="53.25">
      <c r="A168" s="829"/>
      <c r="B168" s="932"/>
      <c r="C168" s="933" t="s">
        <v>1449</v>
      </c>
      <c r="D168" s="1018"/>
      <c r="E168" s="935" t="s">
        <v>1544</v>
      </c>
      <c r="F168" s="933" t="s">
        <v>1449</v>
      </c>
      <c r="G168" s="1019" t="s">
        <v>1544</v>
      </c>
      <c r="H168" s="937" t="s">
        <v>1545</v>
      </c>
      <c r="I168" s="933" t="s">
        <v>1449</v>
      </c>
      <c r="J168" s="1020" t="s">
        <v>1545</v>
      </c>
      <c r="K168" s="937"/>
      <c r="L168" s="933" t="s">
        <v>1449</v>
      </c>
      <c r="M168" s="1021"/>
      <c r="N168" s="829"/>
      <c r="O168" s="932"/>
      <c r="P168" s="933" t="s">
        <v>1449</v>
      </c>
      <c r="Q168" s="1022"/>
      <c r="R168" s="935" t="s">
        <v>1544</v>
      </c>
      <c r="S168" s="933" t="s">
        <v>1449</v>
      </c>
      <c r="T168" s="1023" t="s">
        <v>1544</v>
      </c>
      <c r="U168" s="937" t="s">
        <v>1545</v>
      </c>
      <c r="V168" s="933" t="s">
        <v>1449</v>
      </c>
      <c r="W168" s="1022" t="s">
        <v>1545</v>
      </c>
      <c r="X168" s="937"/>
      <c r="Y168" s="933" t="s">
        <v>1449</v>
      </c>
      <c r="Z168" s="1024"/>
      <c r="AA168" s="829"/>
      <c r="AB168" s="829"/>
    </row>
    <row r="169" spans="1:28" ht="15">
      <c r="A169" s="830"/>
      <c r="B169" s="990"/>
      <c r="C169" s="991"/>
      <c r="D169" s="991"/>
      <c r="E169" s="991"/>
      <c r="F169" s="991"/>
      <c r="G169" s="991"/>
      <c r="H169" s="991"/>
      <c r="I169" s="991"/>
      <c r="J169" s="991"/>
      <c r="K169" s="991"/>
      <c r="L169" s="991"/>
      <c r="M169" s="992"/>
      <c r="N169" s="830"/>
      <c r="O169" s="1008"/>
      <c r="P169" s="1009"/>
      <c r="Q169" s="1009"/>
      <c r="R169" s="1009"/>
      <c r="S169" s="1009"/>
      <c r="T169" s="1009"/>
      <c r="U169" s="1009"/>
      <c r="V169" s="1009"/>
      <c r="W169" s="1009"/>
      <c r="X169" s="1009"/>
      <c r="Y169" s="1009"/>
      <c r="Z169" s="1012"/>
      <c r="AA169" s="830"/>
      <c r="AB169" s="830"/>
    </row>
    <row r="170" spans="1:28" ht="15">
      <c r="N170" s="830"/>
      <c r="AA170" s="1011"/>
    </row>
  </sheetData>
  <mergeCells count="33">
    <mergeCell ref="B1:Z2"/>
    <mergeCell ref="S7:T7"/>
    <mergeCell ref="C7:D7"/>
    <mergeCell ref="F7:G7"/>
    <mergeCell ref="I7:J7"/>
    <mergeCell ref="L7:M7"/>
    <mergeCell ref="P7:Q7"/>
    <mergeCell ref="V7:W7"/>
    <mergeCell ref="Y7:Z7"/>
    <mergeCell ref="S49:T49"/>
    <mergeCell ref="V49:W49"/>
    <mergeCell ref="Y49:Z49"/>
    <mergeCell ref="C91:D91"/>
    <mergeCell ref="F91:G91"/>
    <mergeCell ref="I91:J91"/>
    <mergeCell ref="L91:M91"/>
    <mergeCell ref="P91:Q91"/>
    <mergeCell ref="S91:T91"/>
    <mergeCell ref="V91:W91"/>
    <mergeCell ref="Y91:Z91"/>
    <mergeCell ref="C49:D49"/>
    <mergeCell ref="F49:G49"/>
    <mergeCell ref="I49:J49"/>
    <mergeCell ref="L49:M49"/>
    <mergeCell ref="P49:Q49"/>
    <mergeCell ref="V133:W133"/>
    <mergeCell ref="Y133:Z133"/>
    <mergeCell ref="S133:T133"/>
    <mergeCell ref="C133:D133"/>
    <mergeCell ref="F133:G133"/>
    <mergeCell ref="I133:J133"/>
    <mergeCell ref="L133:M133"/>
    <mergeCell ref="P133:Q133"/>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pageSetUpPr fitToPage="1"/>
  </sheetPr>
  <dimension ref="A1:Z150"/>
  <sheetViews>
    <sheetView showZeros="0" workbookViewId="0">
      <selection activeCell="Q22" sqref="Q22"/>
    </sheetView>
  </sheetViews>
  <sheetFormatPr baseColWidth="10" defaultRowHeight="12.75"/>
  <cols>
    <col min="1" max="1" width="2.140625" style="488" customWidth="1"/>
    <col min="2" max="2" width="6.85546875" style="350" customWidth="1"/>
    <col min="3" max="3" width="30.7109375" style="350" customWidth="1"/>
    <col min="4" max="4" width="7.28515625" style="350" customWidth="1"/>
    <col min="5" max="5" width="9.7109375" style="350" customWidth="1"/>
    <col min="6" max="6" width="11.7109375" style="350" customWidth="1"/>
    <col min="7" max="7" width="9.5703125" style="350" customWidth="1"/>
    <col min="8" max="8" width="11" style="350" customWidth="1"/>
    <col min="9" max="9" width="10.28515625" style="350" customWidth="1"/>
    <col min="10" max="11" width="11.42578125" style="350" customWidth="1"/>
    <col min="12" max="12" width="1.85546875" style="350" customWidth="1"/>
    <col min="13" max="13" width="8.7109375" style="350" customWidth="1"/>
    <col min="14" max="14" width="8.5703125" style="350" customWidth="1"/>
    <col min="15" max="15" width="10.140625" style="350" customWidth="1"/>
    <col min="16" max="16" width="4.7109375" style="350" customWidth="1"/>
    <col min="17" max="17" width="27.28515625" style="350" customWidth="1"/>
    <col min="18" max="18" width="24.7109375" style="350" customWidth="1"/>
    <col min="19" max="19" width="25.140625" style="350" customWidth="1"/>
    <col min="20" max="20" width="17.7109375" style="350" customWidth="1"/>
    <col min="21" max="21" width="3.7109375" style="350" customWidth="1"/>
    <col min="22" max="22" width="24.5703125" style="350" customWidth="1"/>
    <col min="23" max="25" width="35.85546875" style="350" customWidth="1"/>
    <col min="26" max="256" width="11.42578125" style="350"/>
    <col min="257" max="257" width="2.140625" style="350" customWidth="1"/>
    <col min="258" max="258" width="6.85546875" style="350" customWidth="1"/>
    <col min="259" max="259" width="30.7109375" style="350" customWidth="1"/>
    <col min="260" max="260" width="7.28515625" style="350" customWidth="1"/>
    <col min="261" max="261" width="9.7109375" style="350" customWidth="1"/>
    <col min="262" max="262" width="11.7109375" style="350" customWidth="1"/>
    <col min="263" max="263" width="9.5703125" style="350" customWidth="1"/>
    <col min="264" max="264" width="11" style="350" customWidth="1"/>
    <col min="265" max="265" width="10.28515625" style="350" customWidth="1"/>
    <col min="266" max="267" width="0" style="350" hidden="1" customWidth="1"/>
    <col min="268" max="268" width="1.85546875" style="350" customWidth="1"/>
    <col min="269" max="269" width="8.7109375" style="350" customWidth="1"/>
    <col min="270" max="270" width="8.5703125" style="350" customWidth="1"/>
    <col min="271" max="271" width="10.140625" style="350" customWidth="1"/>
    <col min="272" max="272" width="4.7109375" style="350" customWidth="1"/>
    <col min="273" max="273" width="27.28515625" style="350" customWidth="1"/>
    <col min="274" max="274" width="24.7109375" style="350" customWidth="1"/>
    <col min="275" max="275" width="25.140625" style="350" customWidth="1"/>
    <col min="276" max="276" width="17.7109375" style="350" customWidth="1"/>
    <col min="277" max="277" width="3.7109375" style="350" customWidth="1"/>
    <col min="278" max="278" width="24.5703125" style="350" customWidth="1"/>
    <col min="279" max="281" width="35.85546875" style="350" customWidth="1"/>
    <col min="282" max="512" width="11.42578125" style="350"/>
    <col min="513" max="513" width="2.140625" style="350" customWidth="1"/>
    <col min="514" max="514" width="6.85546875" style="350" customWidth="1"/>
    <col min="515" max="515" width="30.7109375" style="350" customWidth="1"/>
    <col min="516" max="516" width="7.28515625" style="350" customWidth="1"/>
    <col min="517" max="517" width="9.7109375" style="350" customWidth="1"/>
    <col min="518" max="518" width="11.7109375" style="350" customWidth="1"/>
    <col min="519" max="519" width="9.5703125" style="350" customWidth="1"/>
    <col min="520" max="520" width="11" style="350" customWidth="1"/>
    <col min="521" max="521" width="10.28515625" style="350" customWidth="1"/>
    <col min="522" max="523" width="0" style="350" hidden="1" customWidth="1"/>
    <col min="524" max="524" width="1.85546875" style="350" customWidth="1"/>
    <col min="525" max="525" width="8.7109375" style="350" customWidth="1"/>
    <col min="526" max="526" width="8.5703125" style="350" customWidth="1"/>
    <col min="527" max="527" width="10.140625" style="350" customWidth="1"/>
    <col min="528" max="528" width="4.7109375" style="350" customWidth="1"/>
    <col min="529" max="529" width="27.28515625" style="350" customWidth="1"/>
    <col min="530" max="530" width="24.7109375" style="350" customWidth="1"/>
    <col min="531" max="531" width="25.140625" style="350" customWidth="1"/>
    <col min="532" max="532" width="17.7109375" style="350" customWidth="1"/>
    <col min="533" max="533" width="3.7109375" style="350" customWidth="1"/>
    <col min="534" max="534" width="24.5703125" style="350" customWidth="1"/>
    <col min="535" max="537" width="35.85546875" style="350" customWidth="1"/>
    <col min="538" max="768" width="11.42578125" style="350"/>
    <col min="769" max="769" width="2.140625" style="350" customWidth="1"/>
    <col min="770" max="770" width="6.85546875" style="350" customWidth="1"/>
    <col min="771" max="771" width="30.7109375" style="350" customWidth="1"/>
    <col min="772" max="772" width="7.28515625" style="350" customWidth="1"/>
    <col min="773" max="773" width="9.7109375" style="350" customWidth="1"/>
    <col min="774" max="774" width="11.7109375" style="350" customWidth="1"/>
    <col min="775" max="775" width="9.5703125" style="350" customWidth="1"/>
    <col min="776" max="776" width="11" style="350" customWidth="1"/>
    <col min="777" max="777" width="10.28515625" style="350" customWidth="1"/>
    <col min="778" max="779" width="0" style="350" hidden="1" customWidth="1"/>
    <col min="780" max="780" width="1.85546875" style="350" customWidth="1"/>
    <col min="781" max="781" width="8.7109375" style="350" customWidth="1"/>
    <col min="782" max="782" width="8.5703125" style="350" customWidth="1"/>
    <col min="783" max="783" width="10.140625" style="350" customWidth="1"/>
    <col min="784" max="784" width="4.7109375" style="350" customWidth="1"/>
    <col min="785" max="785" width="27.28515625" style="350" customWidth="1"/>
    <col min="786" max="786" width="24.7109375" style="350" customWidth="1"/>
    <col min="787" max="787" width="25.140625" style="350" customWidth="1"/>
    <col min="788" max="788" width="17.7109375" style="350" customWidth="1"/>
    <col min="789" max="789" width="3.7109375" style="350" customWidth="1"/>
    <col min="790" max="790" width="24.5703125" style="350" customWidth="1"/>
    <col min="791" max="793" width="35.85546875" style="350" customWidth="1"/>
    <col min="794" max="1024" width="11.42578125" style="350"/>
    <col min="1025" max="1025" width="2.140625" style="350" customWidth="1"/>
    <col min="1026" max="1026" width="6.85546875" style="350" customWidth="1"/>
    <col min="1027" max="1027" width="30.7109375" style="350" customWidth="1"/>
    <col min="1028" max="1028" width="7.28515625" style="350" customWidth="1"/>
    <col min="1029" max="1029" width="9.7109375" style="350" customWidth="1"/>
    <col min="1030" max="1030" width="11.7109375" style="350" customWidth="1"/>
    <col min="1031" max="1031" width="9.5703125" style="350" customWidth="1"/>
    <col min="1032" max="1032" width="11" style="350" customWidth="1"/>
    <col min="1033" max="1033" width="10.28515625" style="350" customWidth="1"/>
    <col min="1034" max="1035" width="0" style="350" hidden="1" customWidth="1"/>
    <col min="1036" max="1036" width="1.85546875" style="350" customWidth="1"/>
    <col min="1037" max="1037" width="8.7109375" style="350" customWidth="1"/>
    <col min="1038" max="1038" width="8.5703125" style="350" customWidth="1"/>
    <col min="1039" max="1039" width="10.140625" style="350" customWidth="1"/>
    <col min="1040" max="1040" width="4.7109375" style="350" customWidth="1"/>
    <col min="1041" max="1041" width="27.28515625" style="350" customWidth="1"/>
    <col min="1042" max="1042" width="24.7109375" style="350" customWidth="1"/>
    <col min="1043" max="1043" width="25.140625" style="350" customWidth="1"/>
    <col min="1044" max="1044" width="17.7109375" style="350" customWidth="1"/>
    <col min="1045" max="1045" width="3.7109375" style="350" customWidth="1"/>
    <col min="1046" max="1046" width="24.5703125" style="350" customWidth="1"/>
    <col min="1047" max="1049" width="35.85546875" style="350" customWidth="1"/>
    <col min="1050" max="1280" width="11.42578125" style="350"/>
    <col min="1281" max="1281" width="2.140625" style="350" customWidth="1"/>
    <col min="1282" max="1282" width="6.85546875" style="350" customWidth="1"/>
    <col min="1283" max="1283" width="30.7109375" style="350" customWidth="1"/>
    <col min="1284" max="1284" width="7.28515625" style="350" customWidth="1"/>
    <col min="1285" max="1285" width="9.7109375" style="350" customWidth="1"/>
    <col min="1286" max="1286" width="11.7109375" style="350" customWidth="1"/>
    <col min="1287" max="1287" width="9.5703125" style="350" customWidth="1"/>
    <col min="1288" max="1288" width="11" style="350" customWidth="1"/>
    <col min="1289" max="1289" width="10.28515625" style="350" customWidth="1"/>
    <col min="1290" max="1291" width="0" style="350" hidden="1" customWidth="1"/>
    <col min="1292" max="1292" width="1.85546875" style="350" customWidth="1"/>
    <col min="1293" max="1293" width="8.7109375" style="350" customWidth="1"/>
    <col min="1294" max="1294" width="8.5703125" style="350" customWidth="1"/>
    <col min="1295" max="1295" width="10.140625" style="350" customWidth="1"/>
    <col min="1296" max="1296" width="4.7109375" style="350" customWidth="1"/>
    <col min="1297" max="1297" width="27.28515625" style="350" customWidth="1"/>
    <col min="1298" max="1298" width="24.7109375" style="350" customWidth="1"/>
    <col min="1299" max="1299" width="25.140625" style="350" customWidth="1"/>
    <col min="1300" max="1300" width="17.7109375" style="350" customWidth="1"/>
    <col min="1301" max="1301" width="3.7109375" style="350" customWidth="1"/>
    <col min="1302" max="1302" width="24.5703125" style="350" customWidth="1"/>
    <col min="1303" max="1305" width="35.85546875" style="350" customWidth="1"/>
    <col min="1306" max="1536" width="11.42578125" style="350"/>
    <col min="1537" max="1537" width="2.140625" style="350" customWidth="1"/>
    <col min="1538" max="1538" width="6.85546875" style="350" customWidth="1"/>
    <col min="1539" max="1539" width="30.7109375" style="350" customWidth="1"/>
    <col min="1540" max="1540" width="7.28515625" style="350" customWidth="1"/>
    <col min="1541" max="1541" width="9.7109375" style="350" customWidth="1"/>
    <col min="1542" max="1542" width="11.7109375" style="350" customWidth="1"/>
    <col min="1543" max="1543" width="9.5703125" style="350" customWidth="1"/>
    <col min="1544" max="1544" width="11" style="350" customWidth="1"/>
    <col min="1545" max="1545" width="10.28515625" style="350" customWidth="1"/>
    <col min="1546" max="1547" width="0" style="350" hidden="1" customWidth="1"/>
    <col min="1548" max="1548" width="1.85546875" style="350" customWidth="1"/>
    <col min="1549" max="1549" width="8.7109375" style="350" customWidth="1"/>
    <col min="1550" max="1550" width="8.5703125" style="350" customWidth="1"/>
    <col min="1551" max="1551" width="10.140625" style="350" customWidth="1"/>
    <col min="1552" max="1552" width="4.7109375" style="350" customWidth="1"/>
    <col min="1553" max="1553" width="27.28515625" style="350" customWidth="1"/>
    <col min="1554" max="1554" width="24.7109375" style="350" customWidth="1"/>
    <col min="1555" max="1555" width="25.140625" style="350" customWidth="1"/>
    <col min="1556" max="1556" width="17.7109375" style="350" customWidth="1"/>
    <col min="1557" max="1557" width="3.7109375" style="350" customWidth="1"/>
    <col min="1558" max="1558" width="24.5703125" style="350" customWidth="1"/>
    <col min="1559" max="1561" width="35.85546875" style="350" customWidth="1"/>
    <col min="1562" max="1792" width="11.42578125" style="350"/>
    <col min="1793" max="1793" width="2.140625" style="350" customWidth="1"/>
    <col min="1794" max="1794" width="6.85546875" style="350" customWidth="1"/>
    <col min="1795" max="1795" width="30.7109375" style="350" customWidth="1"/>
    <col min="1796" max="1796" width="7.28515625" style="350" customWidth="1"/>
    <col min="1797" max="1797" width="9.7109375" style="350" customWidth="1"/>
    <col min="1798" max="1798" width="11.7109375" style="350" customWidth="1"/>
    <col min="1799" max="1799" width="9.5703125" style="350" customWidth="1"/>
    <col min="1800" max="1800" width="11" style="350" customWidth="1"/>
    <col min="1801" max="1801" width="10.28515625" style="350" customWidth="1"/>
    <col min="1802" max="1803" width="0" style="350" hidden="1" customWidth="1"/>
    <col min="1804" max="1804" width="1.85546875" style="350" customWidth="1"/>
    <col min="1805" max="1805" width="8.7109375" style="350" customWidth="1"/>
    <col min="1806" max="1806" width="8.5703125" style="350" customWidth="1"/>
    <col min="1807" max="1807" width="10.140625" style="350" customWidth="1"/>
    <col min="1808" max="1808" width="4.7109375" style="350" customWidth="1"/>
    <col min="1809" max="1809" width="27.28515625" style="350" customWidth="1"/>
    <col min="1810" max="1810" width="24.7109375" style="350" customWidth="1"/>
    <col min="1811" max="1811" width="25.140625" style="350" customWidth="1"/>
    <col min="1812" max="1812" width="17.7109375" style="350" customWidth="1"/>
    <col min="1813" max="1813" width="3.7109375" style="350" customWidth="1"/>
    <col min="1814" max="1814" width="24.5703125" style="350" customWidth="1"/>
    <col min="1815" max="1817" width="35.85546875" style="350" customWidth="1"/>
    <col min="1818" max="2048" width="11.42578125" style="350"/>
    <col min="2049" max="2049" width="2.140625" style="350" customWidth="1"/>
    <col min="2050" max="2050" width="6.85546875" style="350" customWidth="1"/>
    <col min="2051" max="2051" width="30.7109375" style="350" customWidth="1"/>
    <col min="2052" max="2052" width="7.28515625" style="350" customWidth="1"/>
    <col min="2053" max="2053" width="9.7109375" style="350" customWidth="1"/>
    <col min="2054" max="2054" width="11.7109375" style="350" customWidth="1"/>
    <col min="2055" max="2055" width="9.5703125" style="350" customWidth="1"/>
    <col min="2056" max="2056" width="11" style="350" customWidth="1"/>
    <col min="2057" max="2057" width="10.28515625" style="350" customWidth="1"/>
    <col min="2058" max="2059" width="0" style="350" hidden="1" customWidth="1"/>
    <col min="2060" max="2060" width="1.85546875" style="350" customWidth="1"/>
    <col min="2061" max="2061" width="8.7109375" style="350" customWidth="1"/>
    <col min="2062" max="2062" width="8.5703125" style="350" customWidth="1"/>
    <col min="2063" max="2063" width="10.140625" style="350" customWidth="1"/>
    <col min="2064" max="2064" width="4.7109375" style="350" customWidth="1"/>
    <col min="2065" max="2065" width="27.28515625" style="350" customWidth="1"/>
    <col min="2066" max="2066" width="24.7109375" style="350" customWidth="1"/>
    <col min="2067" max="2067" width="25.140625" style="350" customWidth="1"/>
    <col min="2068" max="2068" width="17.7109375" style="350" customWidth="1"/>
    <col min="2069" max="2069" width="3.7109375" style="350" customWidth="1"/>
    <col min="2070" max="2070" width="24.5703125" style="350" customWidth="1"/>
    <col min="2071" max="2073" width="35.85546875" style="350" customWidth="1"/>
    <col min="2074" max="2304" width="11.42578125" style="350"/>
    <col min="2305" max="2305" width="2.140625" style="350" customWidth="1"/>
    <col min="2306" max="2306" width="6.85546875" style="350" customWidth="1"/>
    <col min="2307" max="2307" width="30.7109375" style="350" customWidth="1"/>
    <col min="2308" max="2308" width="7.28515625" style="350" customWidth="1"/>
    <col min="2309" max="2309" width="9.7109375" style="350" customWidth="1"/>
    <col min="2310" max="2310" width="11.7109375" style="350" customWidth="1"/>
    <col min="2311" max="2311" width="9.5703125" style="350" customWidth="1"/>
    <col min="2312" max="2312" width="11" style="350" customWidth="1"/>
    <col min="2313" max="2313" width="10.28515625" style="350" customWidth="1"/>
    <col min="2314" max="2315" width="0" style="350" hidden="1" customWidth="1"/>
    <col min="2316" max="2316" width="1.85546875" style="350" customWidth="1"/>
    <col min="2317" max="2317" width="8.7109375" style="350" customWidth="1"/>
    <col min="2318" max="2318" width="8.5703125" style="350" customWidth="1"/>
    <col min="2319" max="2319" width="10.140625" style="350" customWidth="1"/>
    <col min="2320" max="2320" width="4.7109375" style="350" customWidth="1"/>
    <col min="2321" max="2321" width="27.28515625" style="350" customWidth="1"/>
    <col min="2322" max="2322" width="24.7109375" style="350" customWidth="1"/>
    <col min="2323" max="2323" width="25.140625" style="350" customWidth="1"/>
    <col min="2324" max="2324" width="17.7109375" style="350" customWidth="1"/>
    <col min="2325" max="2325" width="3.7109375" style="350" customWidth="1"/>
    <col min="2326" max="2326" width="24.5703125" style="350" customWidth="1"/>
    <col min="2327" max="2329" width="35.85546875" style="350" customWidth="1"/>
    <col min="2330" max="2560" width="11.42578125" style="350"/>
    <col min="2561" max="2561" width="2.140625" style="350" customWidth="1"/>
    <col min="2562" max="2562" width="6.85546875" style="350" customWidth="1"/>
    <col min="2563" max="2563" width="30.7109375" style="350" customWidth="1"/>
    <col min="2564" max="2564" width="7.28515625" style="350" customWidth="1"/>
    <col min="2565" max="2565" width="9.7109375" style="350" customWidth="1"/>
    <col min="2566" max="2566" width="11.7109375" style="350" customWidth="1"/>
    <col min="2567" max="2567" width="9.5703125" style="350" customWidth="1"/>
    <col min="2568" max="2568" width="11" style="350" customWidth="1"/>
    <col min="2569" max="2569" width="10.28515625" style="350" customWidth="1"/>
    <col min="2570" max="2571" width="0" style="350" hidden="1" customWidth="1"/>
    <col min="2572" max="2572" width="1.85546875" style="350" customWidth="1"/>
    <col min="2573" max="2573" width="8.7109375" style="350" customWidth="1"/>
    <col min="2574" max="2574" width="8.5703125" style="350" customWidth="1"/>
    <col min="2575" max="2575" width="10.140625" style="350" customWidth="1"/>
    <col min="2576" max="2576" width="4.7109375" style="350" customWidth="1"/>
    <col min="2577" max="2577" width="27.28515625" style="350" customWidth="1"/>
    <col min="2578" max="2578" width="24.7109375" style="350" customWidth="1"/>
    <col min="2579" max="2579" width="25.140625" style="350" customWidth="1"/>
    <col min="2580" max="2580" width="17.7109375" style="350" customWidth="1"/>
    <col min="2581" max="2581" width="3.7109375" style="350" customWidth="1"/>
    <col min="2582" max="2582" width="24.5703125" style="350" customWidth="1"/>
    <col min="2583" max="2585" width="35.85546875" style="350" customWidth="1"/>
    <col min="2586" max="2816" width="11.42578125" style="350"/>
    <col min="2817" max="2817" width="2.140625" style="350" customWidth="1"/>
    <col min="2818" max="2818" width="6.85546875" style="350" customWidth="1"/>
    <col min="2819" max="2819" width="30.7109375" style="350" customWidth="1"/>
    <col min="2820" max="2820" width="7.28515625" style="350" customWidth="1"/>
    <col min="2821" max="2821" width="9.7109375" style="350" customWidth="1"/>
    <col min="2822" max="2822" width="11.7109375" style="350" customWidth="1"/>
    <col min="2823" max="2823" width="9.5703125" style="350" customWidth="1"/>
    <col min="2824" max="2824" width="11" style="350" customWidth="1"/>
    <col min="2825" max="2825" width="10.28515625" style="350" customWidth="1"/>
    <col min="2826" max="2827" width="0" style="350" hidden="1" customWidth="1"/>
    <col min="2828" max="2828" width="1.85546875" style="350" customWidth="1"/>
    <col min="2829" max="2829" width="8.7109375" style="350" customWidth="1"/>
    <col min="2830" max="2830" width="8.5703125" style="350" customWidth="1"/>
    <col min="2831" max="2831" width="10.140625" style="350" customWidth="1"/>
    <col min="2832" max="2832" width="4.7109375" style="350" customWidth="1"/>
    <col min="2833" max="2833" width="27.28515625" style="350" customWidth="1"/>
    <col min="2834" max="2834" width="24.7109375" style="350" customWidth="1"/>
    <col min="2835" max="2835" width="25.140625" style="350" customWidth="1"/>
    <col min="2836" max="2836" width="17.7109375" style="350" customWidth="1"/>
    <col min="2837" max="2837" width="3.7109375" style="350" customWidth="1"/>
    <col min="2838" max="2838" width="24.5703125" style="350" customWidth="1"/>
    <col min="2839" max="2841" width="35.85546875" style="350" customWidth="1"/>
    <col min="2842" max="3072" width="11.42578125" style="350"/>
    <col min="3073" max="3073" width="2.140625" style="350" customWidth="1"/>
    <col min="3074" max="3074" width="6.85546875" style="350" customWidth="1"/>
    <col min="3075" max="3075" width="30.7109375" style="350" customWidth="1"/>
    <col min="3076" max="3076" width="7.28515625" style="350" customWidth="1"/>
    <col min="3077" max="3077" width="9.7109375" style="350" customWidth="1"/>
    <col min="3078" max="3078" width="11.7109375" style="350" customWidth="1"/>
    <col min="3079" max="3079" width="9.5703125" style="350" customWidth="1"/>
    <col min="3080" max="3080" width="11" style="350" customWidth="1"/>
    <col min="3081" max="3081" width="10.28515625" style="350" customWidth="1"/>
    <col min="3082" max="3083" width="0" style="350" hidden="1" customWidth="1"/>
    <col min="3084" max="3084" width="1.85546875" style="350" customWidth="1"/>
    <col min="3085" max="3085" width="8.7109375" style="350" customWidth="1"/>
    <col min="3086" max="3086" width="8.5703125" style="350" customWidth="1"/>
    <col min="3087" max="3087" width="10.140625" style="350" customWidth="1"/>
    <col min="3088" max="3088" width="4.7109375" style="350" customWidth="1"/>
    <col min="3089" max="3089" width="27.28515625" style="350" customWidth="1"/>
    <col min="3090" max="3090" width="24.7109375" style="350" customWidth="1"/>
    <col min="3091" max="3091" width="25.140625" style="350" customWidth="1"/>
    <col min="3092" max="3092" width="17.7109375" style="350" customWidth="1"/>
    <col min="3093" max="3093" width="3.7109375" style="350" customWidth="1"/>
    <col min="3094" max="3094" width="24.5703125" style="350" customWidth="1"/>
    <col min="3095" max="3097" width="35.85546875" style="350" customWidth="1"/>
    <col min="3098" max="3328" width="11.42578125" style="350"/>
    <col min="3329" max="3329" width="2.140625" style="350" customWidth="1"/>
    <col min="3330" max="3330" width="6.85546875" style="350" customWidth="1"/>
    <col min="3331" max="3331" width="30.7109375" style="350" customWidth="1"/>
    <col min="3332" max="3332" width="7.28515625" style="350" customWidth="1"/>
    <col min="3333" max="3333" width="9.7109375" style="350" customWidth="1"/>
    <col min="3334" max="3334" width="11.7109375" style="350" customWidth="1"/>
    <col min="3335" max="3335" width="9.5703125" style="350" customWidth="1"/>
    <col min="3336" max="3336" width="11" style="350" customWidth="1"/>
    <col min="3337" max="3337" width="10.28515625" style="350" customWidth="1"/>
    <col min="3338" max="3339" width="0" style="350" hidden="1" customWidth="1"/>
    <col min="3340" max="3340" width="1.85546875" style="350" customWidth="1"/>
    <col min="3341" max="3341" width="8.7109375" style="350" customWidth="1"/>
    <col min="3342" max="3342" width="8.5703125" style="350" customWidth="1"/>
    <col min="3343" max="3343" width="10.140625" style="350" customWidth="1"/>
    <col min="3344" max="3344" width="4.7109375" style="350" customWidth="1"/>
    <col min="3345" max="3345" width="27.28515625" style="350" customWidth="1"/>
    <col min="3346" max="3346" width="24.7109375" style="350" customWidth="1"/>
    <col min="3347" max="3347" width="25.140625" style="350" customWidth="1"/>
    <col min="3348" max="3348" width="17.7109375" style="350" customWidth="1"/>
    <col min="3349" max="3349" width="3.7109375" style="350" customWidth="1"/>
    <col min="3350" max="3350" width="24.5703125" style="350" customWidth="1"/>
    <col min="3351" max="3353" width="35.85546875" style="350" customWidth="1"/>
    <col min="3354" max="3584" width="11.42578125" style="350"/>
    <col min="3585" max="3585" width="2.140625" style="350" customWidth="1"/>
    <col min="3586" max="3586" width="6.85546875" style="350" customWidth="1"/>
    <col min="3587" max="3587" width="30.7109375" style="350" customWidth="1"/>
    <col min="3588" max="3588" width="7.28515625" style="350" customWidth="1"/>
    <col min="3589" max="3589" width="9.7109375" style="350" customWidth="1"/>
    <col min="3590" max="3590" width="11.7109375" style="350" customWidth="1"/>
    <col min="3591" max="3591" width="9.5703125" style="350" customWidth="1"/>
    <col min="3592" max="3592" width="11" style="350" customWidth="1"/>
    <col min="3593" max="3593" width="10.28515625" style="350" customWidth="1"/>
    <col min="3594" max="3595" width="0" style="350" hidden="1" customWidth="1"/>
    <col min="3596" max="3596" width="1.85546875" style="350" customWidth="1"/>
    <col min="3597" max="3597" width="8.7109375" style="350" customWidth="1"/>
    <col min="3598" max="3598" width="8.5703125" style="350" customWidth="1"/>
    <col min="3599" max="3599" width="10.140625" style="350" customWidth="1"/>
    <col min="3600" max="3600" width="4.7109375" style="350" customWidth="1"/>
    <col min="3601" max="3601" width="27.28515625" style="350" customWidth="1"/>
    <col min="3602" max="3602" width="24.7109375" style="350" customWidth="1"/>
    <col min="3603" max="3603" width="25.140625" style="350" customWidth="1"/>
    <col min="3604" max="3604" width="17.7109375" style="350" customWidth="1"/>
    <col min="3605" max="3605" width="3.7109375" style="350" customWidth="1"/>
    <col min="3606" max="3606" width="24.5703125" style="350" customWidth="1"/>
    <col min="3607" max="3609" width="35.85546875" style="350" customWidth="1"/>
    <col min="3610" max="3840" width="11.42578125" style="350"/>
    <col min="3841" max="3841" width="2.140625" style="350" customWidth="1"/>
    <col min="3842" max="3842" width="6.85546875" style="350" customWidth="1"/>
    <col min="3843" max="3843" width="30.7109375" style="350" customWidth="1"/>
    <col min="3844" max="3844" width="7.28515625" style="350" customWidth="1"/>
    <col min="3845" max="3845" width="9.7109375" style="350" customWidth="1"/>
    <col min="3846" max="3846" width="11.7109375" style="350" customWidth="1"/>
    <col min="3847" max="3847" width="9.5703125" style="350" customWidth="1"/>
    <col min="3848" max="3848" width="11" style="350" customWidth="1"/>
    <col min="3849" max="3849" width="10.28515625" style="350" customWidth="1"/>
    <col min="3850" max="3851" width="0" style="350" hidden="1" customWidth="1"/>
    <col min="3852" max="3852" width="1.85546875" style="350" customWidth="1"/>
    <col min="3853" max="3853" width="8.7109375" style="350" customWidth="1"/>
    <col min="3854" max="3854" width="8.5703125" style="350" customWidth="1"/>
    <col min="3855" max="3855" width="10.140625" style="350" customWidth="1"/>
    <col min="3856" max="3856" width="4.7109375" style="350" customWidth="1"/>
    <col min="3857" max="3857" width="27.28515625" style="350" customWidth="1"/>
    <col min="3858" max="3858" width="24.7109375" style="350" customWidth="1"/>
    <col min="3859" max="3859" width="25.140625" style="350" customWidth="1"/>
    <col min="3860" max="3860" width="17.7109375" style="350" customWidth="1"/>
    <col min="3861" max="3861" width="3.7109375" style="350" customWidth="1"/>
    <col min="3862" max="3862" width="24.5703125" style="350" customWidth="1"/>
    <col min="3863" max="3865" width="35.85546875" style="350" customWidth="1"/>
    <col min="3866" max="4096" width="11.42578125" style="350"/>
    <col min="4097" max="4097" width="2.140625" style="350" customWidth="1"/>
    <col min="4098" max="4098" width="6.85546875" style="350" customWidth="1"/>
    <col min="4099" max="4099" width="30.7109375" style="350" customWidth="1"/>
    <col min="4100" max="4100" width="7.28515625" style="350" customWidth="1"/>
    <col min="4101" max="4101" width="9.7109375" style="350" customWidth="1"/>
    <col min="4102" max="4102" width="11.7109375" style="350" customWidth="1"/>
    <col min="4103" max="4103" width="9.5703125" style="350" customWidth="1"/>
    <col min="4104" max="4104" width="11" style="350" customWidth="1"/>
    <col min="4105" max="4105" width="10.28515625" style="350" customWidth="1"/>
    <col min="4106" max="4107" width="0" style="350" hidden="1" customWidth="1"/>
    <col min="4108" max="4108" width="1.85546875" style="350" customWidth="1"/>
    <col min="4109" max="4109" width="8.7109375" style="350" customWidth="1"/>
    <col min="4110" max="4110" width="8.5703125" style="350" customWidth="1"/>
    <col min="4111" max="4111" width="10.140625" style="350" customWidth="1"/>
    <col min="4112" max="4112" width="4.7109375" style="350" customWidth="1"/>
    <col min="4113" max="4113" width="27.28515625" style="350" customWidth="1"/>
    <col min="4114" max="4114" width="24.7109375" style="350" customWidth="1"/>
    <col min="4115" max="4115" width="25.140625" style="350" customWidth="1"/>
    <col min="4116" max="4116" width="17.7109375" style="350" customWidth="1"/>
    <col min="4117" max="4117" width="3.7109375" style="350" customWidth="1"/>
    <col min="4118" max="4118" width="24.5703125" style="350" customWidth="1"/>
    <col min="4119" max="4121" width="35.85546875" style="350" customWidth="1"/>
    <col min="4122" max="4352" width="11.42578125" style="350"/>
    <col min="4353" max="4353" width="2.140625" style="350" customWidth="1"/>
    <col min="4354" max="4354" width="6.85546875" style="350" customWidth="1"/>
    <col min="4355" max="4355" width="30.7109375" style="350" customWidth="1"/>
    <col min="4356" max="4356" width="7.28515625" style="350" customWidth="1"/>
    <col min="4357" max="4357" width="9.7109375" style="350" customWidth="1"/>
    <col min="4358" max="4358" width="11.7109375" style="350" customWidth="1"/>
    <col min="4359" max="4359" width="9.5703125" style="350" customWidth="1"/>
    <col min="4360" max="4360" width="11" style="350" customWidth="1"/>
    <col min="4361" max="4361" width="10.28515625" style="350" customWidth="1"/>
    <col min="4362" max="4363" width="0" style="350" hidden="1" customWidth="1"/>
    <col min="4364" max="4364" width="1.85546875" style="350" customWidth="1"/>
    <col min="4365" max="4365" width="8.7109375" style="350" customWidth="1"/>
    <col min="4366" max="4366" width="8.5703125" style="350" customWidth="1"/>
    <col min="4367" max="4367" width="10.140625" style="350" customWidth="1"/>
    <col min="4368" max="4368" width="4.7109375" style="350" customWidth="1"/>
    <col min="4369" max="4369" width="27.28515625" style="350" customWidth="1"/>
    <col min="4370" max="4370" width="24.7109375" style="350" customWidth="1"/>
    <col min="4371" max="4371" width="25.140625" style="350" customWidth="1"/>
    <col min="4372" max="4372" width="17.7109375" style="350" customWidth="1"/>
    <col min="4373" max="4373" width="3.7109375" style="350" customWidth="1"/>
    <col min="4374" max="4374" width="24.5703125" style="350" customWidth="1"/>
    <col min="4375" max="4377" width="35.85546875" style="350" customWidth="1"/>
    <col min="4378" max="4608" width="11.42578125" style="350"/>
    <col min="4609" max="4609" width="2.140625" style="350" customWidth="1"/>
    <col min="4610" max="4610" width="6.85546875" style="350" customWidth="1"/>
    <col min="4611" max="4611" width="30.7109375" style="350" customWidth="1"/>
    <col min="4612" max="4612" width="7.28515625" style="350" customWidth="1"/>
    <col min="4613" max="4613" width="9.7109375" style="350" customWidth="1"/>
    <col min="4614" max="4614" width="11.7109375" style="350" customWidth="1"/>
    <col min="4615" max="4615" width="9.5703125" style="350" customWidth="1"/>
    <col min="4616" max="4616" width="11" style="350" customWidth="1"/>
    <col min="4617" max="4617" width="10.28515625" style="350" customWidth="1"/>
    <col min="4618" max="4619" width="0" style="350" hidden="1" customWidth="1"/>
    <col min="4620" max="4620" width="1.85546875" style="350" customWidth="1"/>
    <col min="4621" max="4621" width="8.7109375" style="350" customWidth="1"/>
    <col min="4622" max="4622" width="8.5703125" style="350" customWidth="1"/>
    <col min="4623" max="4623" width="10.140625" style="350" customWidth="1"/>
    <col min="4624" max="4624" width="4.7109375" style="350" customWidth="1"/>
    <col min="4625" max="4625" width="27.28515625" style="350" customWidth="1"/>
    <col min="4626" max="4626" width="24.7109375" style="350" customWidth="1"/>
    <col min="4627" max="4627" width="25.140625" style="350" customWidth="1"/>
    <col min="4628" max="4628" width="17.7109375" style="350" customWidth="1"/>
    <col min="4629" max="4629" width="3.7109375" style="350" customWidth="1"/>
    <col min="4630" max="4630" width="24.5703125" style="350" customWidth="1"/>
    <col min="4631" max="4633" width="35.85546875" style="350" customWidth="1"/>
    <col min="4634" max="4864" width="11.42578125" style="350"/>
    <col min="4865" max="4865" width="2.140625" style="350" customWidth="1"/>
    <col min="4866" max="4866" width="6.85546875" style="350" customWidth="1"/>
    <col min="4867" max="4867" width="30.7109375" style="350" customWidth="1"/>
    <col min="4868" max="4868" width="7.28515625" style="350" customWidth="1"/>
    <col min="4869" max="4869" width="9.7109375" style="350" customWidth="1"/>
    <col min="4870" max="4870" width="11.7109375" style="350" customWidth="1"/>
    <col min="4871" max="4871" width="9.5703125" style="350" customWidth="1"/>
    <col min="4872" max="4872" width="11" style="350" customWidth="1"/>
    <col min="4873" max="4873" width="10.28515625" style="350" customWidth="1"/>
    <col min="4874" max="4875" width="0" style="350" hidden="1" customWidth="1"/>
    <col min="4876" max="4876" width="1.85546875" style="350" customWidth="1"/>
    <col min="4877" max="4877" width="8.7109375" style="350" customWidth="1"/>
    <col min="4878" max="4878" width="8.5703125" style="350" customWidth="1"/>
    <col min="4879" max="4879" width="10.140625" style="350" customWidth="1"/>
    <col min="4880" max="4880" width="4.7109375" style="350" customWidth="1"/>
    <col min="4881" max="4881" width="27.28515625" style="350" customWidth="1"/>
    <col min="4882" max="4882" width="24.7109375" style="350" customWidth="1"/>
    <col min="4883" max="4883" width="25.140625" style="350" customWidth="1"/>
    <col min="4884" max="4884" width="17.7109375" style="350" customWidth="1"/>
    <col min="4885" max="4885" width="3.7109375" style="350" customWidth="1"/>
    <col min="4886" max="4886" width="24.5703125" style="350" customWidth="1"/>
    <col min="4887" max="4889" width="35.85546875" style="350" customWidth="1"/>
    <col min="4890" max="5120" width="11.42578125" style="350"/>
    <col min="5121" max="5121" width="2.140625" style="350" customWidth="1"/>
    <col min="5122" max="5122" width="6.85546875" style="350" customWidth="1"/>
    <col min="5123" max="5123" width="30.7109375" style="350" customWidth="1"/>
    <col min="5124" max="5124" width="7.28515625" style="350" customWidth="1"/>
    <col min="5125" max="5125" width="9.7109375" style="350" customWidth="1"/>
    <col min="5126" max="5126" width="11.7109375" style="350" customWidth="1"/>
    <col min="5127" max="5127" width="9.5703125" style="350" customWidth="1"/>
    <col min="5128" max="5128" width="11" style="350" customWidth="1"/>
    <col min="5129" max="5129" width="10.28515625" style="350" customWidth="1"/>
    <col min="5130" max="5131" width="0" style="350" hidden="1" customWidth="1"/>
    <col min="5132" max="5132" width="1.85546875" style="350" customWidth="1"/>
    <col min="5133" max="5133" width="8.7109375" style="350" customWidth="1"/>
    <col min="5134" max="5134" width="8.5703125" style="350" customWidth="1"/>
    <col min="5135" max="5135" width="10.140625" style="350" customWidth="1"/>
    <col min="5136" max="5136" width="4.7109375" style="350" customWidth="1"/>
    <col min="5137" max="5137" width="27.28515625" style="350" customWidth="1"/>
    <col min="5138" max="5138" width="24.7109375" style="350" customWidth="1"/>
    <col min="5139" max="5139" width="25.140625" style="350" customWidth="1"/>
    <col min="5140" max="5140" width="17.7109375" style="350" customWidth="1"/>
    <col min="5141" max="5141" width="3.7109375" style="350" customWidth="1"/>
    <col min="5142" max="5142" width="24.5703125" style="350" customWidth="1"/>
    <col min="5143" max="5145" width="35.85546875" style="350" customWidth="1"/>
    <col min="5146" max="5376" width="11.42578125" style="350"/>
    <col min="5377" max="5377" width="2.140625" style="350" customWidth="1"/>
    <col min="5378" max="5378" width="6.85546875" style="350" customWidth="1"/>
    <col min="5379" max="5379" width="30.7109375" style="350" customWidth="1"/>
    <col min="5380" max="5380" width="7.28515625" style="350" customWidth="1"/>
    <col min="5381" max="5381" width="9.7109375" style="350" customWidth="1"/>
    <col min="5382" max="5382" width="11.7109375" style="350" customWidth="1"/>
    <col min="5383" max="5383" width="9.5703125" style="350" customWidth="1"/>
    <col min="5384" max="5384" width="11" style="350" customWidth="1"/>
    <col min="5385" max="5385" width="10.28515625" style="350" customWidth="1"/>
    <col min="5386" max="5387" width="0" style="350" hidden="1" customWidth="1"/>
    <col min="5388" max="5388" width="1.85546875" style="350" customWidth="1"/>
    <col min="5389" max="5389" width="8.7109375" style="350" customWidth="1"/>
    <col min="5390" max="5390" width="8.5703125" style="350" customWidth="1"/>
    <col min="5391" max="5391" width="10.140625" style="350" customWidth="1"/>
    <col min="5392" max="5392" width="4.7109375" style="350" customWidth="1"/>
    <col min="5393" max="5393" width="27.28515625" style="350" customWidth="1"/>
    <col min="5394" max="5394" width="24.7109375" style="350" customWidth="1"/>
    <col min="5395" max="5395" width="25.140625" style="350" customWidth="1"/>
    <col min="5396" max="5396" width="17.7109375" style="350" customWidth="1"/>
    <col min="5397" max="5397" width="3.7109375" style="350" customWidth="1"/>
    <col min="5398" max="5398" width="24.5703125" style="350" customWidth="1"/>
    <col min="5399" max="5401" width="35.85546875" style="350" customWidth="1"/>
    <col min="5402" max="5632" width="11.42578125" style="350"/>
    <col min="5633" max="5633" width="2.140625" style="350" customWidth="1"/>
    <col min="5634" max="5634" width="6.85546875" style="350" customWidth="1"/>
    <col min="5635" max="5635" width="30.7109375" style="350" customWidth="1"/>
    <col min="5636" max="5636" width="7.28515625" style="350" customWidth="1"/>
    <col min="5637" max="5637" width="9.7109375" style="350" customWidth="1"/>
    <col min="5638" max="5638" width="11.7109375" style="350" customWidth="1"/>
    <col min="5639" max="5639" width="9.5703125" style="350" customWidth="1"/>
    <col min="5640" max="5640" width="11" style="350" customWidth="1"/>
    <col min="5641" max="5641" width="10.28515625" style="350" customWidth="1"/>
    <col min="5642" max="5643" width="0" style="350" hidden="1" customWidth="1"/>
    <col min="5644" max="5644" width="1.85546875" style="350" customWidth="1"/>
    <col min="5645" max="5645" width="8.7109375" style="350" customWidth="1"/>
    <col min="5646" max="5646" width="8.5703125" style="350" customWidth="1"/>
    <col min="5647" max="5647" width="10.140625" style="350" customWidth="1"/>
    <col min="5648" max="5648" width="4.7109375" style="350" customWidth="1"/>
    <col min="5649" max="5649" width="27.28515625" style="350" customWidth="1"/>
    <col min="5650" max="5650" width="24.7109375" style="350" customWidth="1"/>
    <col min="5651" max="5651" width="25.140625" style="350" customWidth="1"/>
    <col min="5652" max="5652" width="17.7109375" style="350" customWidth="1"/>
    <col min="5653" max="5653" width="3.7109375" style="350" customWidth="1"/>
    <col min="5654" max="5654" width="24.5703125" style="350" customWidth="1"/>
    <col min="5655" max="5657" width="35.85546875" style="350" customWidth="1"/>
    <col min="5658" max="5888" width="11.42578125" style="350"/>
    <col min="5889" max="5889" width="2.140625" style="350" customWidth="1"/>
    <col min="5890" max="5890" width="6.85546875" style="350" customWidth="1"/>
    <col min="5891" max="5891" width="30.7109375" style="350" customWidth="1"/>
    <col min="5892" max="5892" width="7.28515625" style="350" customWidth="1"/>
    <col min="5893" max="5893" width="9.7109375" style="350" customWidth="1"/>
    <col min="5894" max="5894" width="11.7109375" style="350" customWidth="1"/>
    <col min="5895" max="5895" width="9.5703125" style="350" customWidth="1"/>
    <col min="5896" max="5896" width="11" style="350" customWidth="1"/>
    <col min="5897" max="5897" width="10.28515625" style="350" customWidth="1"/>
    <col min="5898" max="5899" width="0" style="350" hidden="1" customWidth="1"/>
    <col min="5900" max="5900" width="1.85546875" style="350" customWidth="1"/>
    <col min="5901" max="5901" width="8.7109375" style="350" customWidth="1"/>
    <col min="5902" max="5902" width="8.5703125" style="350" customWidth="1"/>
    <col min="5903" max="5903" width="10.140625" style="350" customWidth="1"/>
    <col min="5904" max="5904" width="4.7109375" style="350" customWidth="1"/>
    <col min="5905" max="5905" width="27.28515625" style="350" customWidth="1"/>
    <col min="5906" max="5906" width="24.7109375" style="350" customWidth="1"/>
    <col min="5907" max="5907" width="25.140625" style="350" customWidth="1"/>
    <col min="5908" max="5908" width="17.7109375" style="350" customWidth="1"/>
    <col min="5909" max="5909" width="3.7109375" style="350" customWidth="1"/>
    <col min="5910" max="5910" width="24.5703125" style="350" customWidth="1"/>
    <col min="5911" max="5913" width="35.85546875" style="350" customWidth="1"/>
    <col min="5914" max="6144" width="11.42578125" style="350"/>
    <col min="6145" max="6145" width="2.140625" style="350" customWidth="1"/>
    <col min="6146" max="6146" width="6.85546875" style="350" customWidth="1"/>
    <col min="6147" max="6147" width="30.7109375" style="350" customWidth="1"/>
    <col min="6148" max="6148" width="7.28515625" style="350" customWidth="1"/>
    <col min="6149" max="6149" width="9.7109375" style="350" customWidth="1"/>
    <col min="6150" max="6150" width="11.7109375" style="350" customWidth="1"/>
    <col min="6151" max="6151" width="9.5703125" style="350" customWidth="1"/>
    <col min="6152" max="6152" width="11" style="350" customWidth="1"/>
    <col min="6153" max="6153" width="10.28515625" style="350" customWidth="1"/>
    <col min="6154" max="6155" width="0" style="350" hidden="1" customWidth="1"/>
    <col min="6156" max="6156" width="1.85546875" style="350" customWidth="1"/>
    <col min="6157" max="6157" width="8.7109375" style="350" customWidth="1"/>
    <col min="6158" max="6158" width="8.5703125" style="350" customWidth="1"/>
    <col min="6159" max="6159" width="10.140625" style="350" customWidth="1"/>
    <col min="6160" max="6160" width="4.7109375" style="350" customWidth="1"/>
    <col min="6161" max="6161" width="27.28515625" style="350" customWidth="1"/>
    <col min="6162" max="6162" width="24.7109375" style="350" customWidth="1"/>
    <col min="6163" max="6163" width="25.140625" style="350" customWidth="1"/>
    <col min="6164" max="6164" width="17.7109375" style="350" customWidth="1"/>
    <col min="6165" max="6165" width="3.7109375" style="350" customWidth="1"/>
    <col min="6166" max="6166" width="24.5703125" style="350" customWidth="1"/>
    <col min="6167" max="6169" width="35.85546875" style="350" customWidth="1"/>
    <col min="6170" max="6400" width="11.42578125" style="350"/>
    <col min="6401" max="6401" width="2.140625" style="350" customWidth="1"/>
    <col min="6402" max="6402" width="6.85546875" style="350" customWidth="1"/>
    <col min="6403" max="6403" width="30.7109375" style="350" customWidth="1"/>
    <col min="6404" max="6404" width="7.28515625" style="350" customWidth="1"/>
    <col min="6405" max="6405" width="9.7109375" style="350" customWidth="1"/>
    <col min="6406" max="6406" width="11.7109375" style="350" customWidth="1"/>
    <col min="6407" max="6407" width="9.5703125" style="350" customWidth="1"/>
    <col min="6408" max="6408" width="11" style="350" customWidth="1"/>
    <col min="6409" max="6409" width="10.28515625" style="350" customWidth="1"/>
    <col min="6410" max="6411" width="0" style="350" hidden="1" customWidth="1"/>
    <col min="6412" max="6412" width="1.85546875" style="350" customWidth="1"/>
    <col min="6413" max="6413" width="8.7109375" style="350" customWidth="1"/>
    <col min="6414" max="6414" width="8.5703125" style="350" customWidth="1"/>
    <col min="6415" max="6415" width="10.140625" style="350" customWidth="1"/>
    <col min="6416" max="6416" width="4.7109375" style="350" customWidth="1"/>
    <col min="6417" max="6417" width="27.28515625" style="350" customWidth="1"/>
    <col min="6418" max="6418" width="24.7109375" style="350" customWidth="1"/>
    <col min="6419" max="6419" width="25.140625" style="350" customWidth="1"/>
    <col min="6420" max="6420" width="17.7109375" style="350" customWidth="1"/>
    <col min="6421" max="6421" width="3.7109375" style="350" customWidth="1"/>
    <col min="6422" max="6422" width="24.5703125" style="350" customWidth="1"/>
    <col min="6423" max="6425" width="35.85546875" style="350" customWidth="1"/>
    <col min="6426" max="6656" width="11.42578125" style="350"/>
    <col min="6657" max="6657" width="2.140625" style="350" customWidth="1"/>
    <col min="6658" max="6658" width="6.85546875" style="350" customWidth="1"/>
    <col min="6659" max="6659" width="30.7109375" style="350" customWidth="1"/>
    <col min="6660" max="6660" width="7.28515625" style="350" customWidth="1"/>
    <col min="6661" max="6661" width="9.7109375" style="350" customWidth="1"/>
    <col min="6662" max="6662" width="11.7109375" style="350" customWidth="1"/>
    <col min="6663" max="6663" width="9.5703125" style="350" customWidth="1"/>
    <col min="6664" max="6664" width="11" style="350" customWidth="1"/>
    <col min="6665" max="6665" width="10.28515625" style="350" customWidth="1"/>
    <col min="6666" max="6667" width="0" style="350" hidden="1" customWidth="1"/>
    <col min="6668" max="6668" width="1.85546875" style="350" customWidth="1"/>
    <col min="6669" max="6669" width="8.7109375" style="350" customWidth="1"/>
    <col min="6670" max="6670" width="8.5703125" style="350" customWidth="1"/>
    <col min="6671" max="6671" width="10.140625" style="350" customWidth="1"/>
    <col min="6672" max="6672" width="4.7109375" style="350" customWidth="1"/>
    <col min="6673" max="6673" width="27.28515625" style="350" customWidth="1"/>
    <col min="6674" max="6674" width="24.7109375" style="350" customWidth="1"/>
    <col min="6675" max="6675" width="25.140625" style="350" customWidth="1"/>
    <col min="6676" max="6676" width="17.7109375" style="350" customWidth="1"/>
    <col min="6677" max="6677" width="3.7109375" style="350" customWidth="1"/>
    <col min="6678" max="6678" width="24.5703125" style="350" customWidth="1"/>
    <col min="6679" max="6681" width="35.85546875" style="350" customWidth="1"/>
    <col min="6682" max="6912" width="11.42578125" style="350"/>
    <col min="6913" max="6913" width="2.140625" style="350" customWidth="1"/>
    <col min="6914" max="6914" width="6.85546875" style="350" customWidth="1"/>
    <col min="6915" max="6915" width="30.7109375" style="350" customWidth="1"/>
    <col min="6916" max="6916" width="7.28515625" style="350" customWidth="1"/>
    <col min="6917" max="6917" width="9.7109375" style="350" customWidth="1"/>
    <col min="6918" max="6918" width="11.7109375" style="350" customWidth="1"/>
    <col min="6919" max="6919" width="9.5703125" style="350" customWidth="1"/>
    <col min="6920" max="6920" width="11" style="350" customWidth="1"/>
    <col min="6921" max="6921" width="10.28515625" style="350" customWidth="1"/>
    <col min="6922" max="6923" width="0" style="350" hidden="1" customWidth="1"/>
    <col min="6924" max="6924" width="1.85546875" style="350" customWidth="1"/>
    <col min="6925" max="6925" width="8.7109375" style="350" customWidth="1"/>
    <col min="6926" max="6926" width="8.5703125" style="350" customWidth="1"/>
    <col min="6927" max="6927" width="10.140625" style="350" customWidth="1"/>
    <col min="6928" max="6928" width="4.7109375" style="350" customWidth="1"/>
    <col min="6929" max="6929" width="27.28515625" style="350" customWidth="1"/>
    <col min="6930" max="6930" width="24.7109375" style="350" customWidth="1"/>
    <col min="6931" max="6931" width="25.140625" style="350" customWidth="1"/>
    <col min="6932" max="6932" width="17.7109375" style="350" customWidth="1"/>
    <col min="6933" max="6933" width="3.7109375" style="350" customWidth="1"/>
    <col min="6934" max="6934" width="24.5703125" style="350" customWidth="1"/>
    <col min="6935" max="6937" width="35.85546875" style="350" customWidth="1"/>
    <col min="6938" max="7168" width="11.42578125" style="350"/>
    <col min="7169" max="7169" width="2.140625" style="350" customWidth="1"/>
    <col min="7170" max="7170" width="6.85546875" style="350" customWidth="1"/>
    <col min="7171" max="7171" width="30.7109375" style="350" customWidth="1"/>
    <col min="7172" max="7172" width="7.28515625" style="350" customWidth="1"/>
    <col min="7173" max="7173" width="9.7109375" style="350" customWidth="1"/>
    <col min="7174" max="7174" width="11.7109375" style="350" customWidth="1"/>
    <col min="7175" max="7175" width="9.5703125" style="350" customWidth="1"/>
    <col min="7176" max="7176" width="11" style="350" customWidth="1"/>
    <col min="7177" max="7177" width="10.28515625" style="350" customWidth="1"/>
    <col min="7178" max="7179" width="0" style="350" hidden="1" customWidth="1"/>
    <col min="7180" max="7180" width="1.85546875" style="350" customWidth="1"/>
    <col min="7181" max="7181" width="8.7109375" style="350" customWidth="1"/>
    <col min="7182" max="7182" width="8.5703125" style="350" customWidth="1"/>
    <col min="7183" max="7183" width="10.140625" style="350" customWidth="1"/>
    <col min="7184" max="7184" width="4.7109375" style="350" customWidth="1"/>
    <col min="7185" max="7185" width="27.28515625" style="350" customWidth="1"/>
    <col min="7186" max="7186" width="24.7109375" style="350" customWidth="1"/>
    <col min="7187" max="7187" width="25.140625" style="350" customWidth="1"/>
    <col min="7188" max="7188" width="17.7109375" style="350" customWidth="1"/>
    <col min="7189" max="7189" width="3.7109375" style="350" customWidth="1"/>
    <col min="7190" max="7190" width="24.5703125" style="350" customWidth="1"/>
    <col min="7191" max="7193" width="35.85546875" style="350" customWidth="1"/>
    <col min="7194" max="7424" width="11.42578125" style="350"/>
    <col min="7425" max="7425" width="2.140625" style="350" customWidth="1"/>
    <col min="7426" max="7426" width="6.85546875" style="350" customWidth="1"/>
    <col min="7427" max="7427" width="30.7109375" style="350" customWidth="1"/>
    <col min="7428" max="7428" width="7.28515625" style="350" customWidth="1"/>
    <col min="7429" max="7429" width="9.7109375" style="350" customWidth="1"/>
    <col min="7430" max="7430" width="11.7109375" style="350" customWidth="1"/>
    <col min="7431" max="7431" width="9.5703125" style="350" customWidth="1"/>
    <col min="7432" max="7432" width="11" style="350" customWidth="1"/>
    <col min="7433" max="7433" width="10.28515625" style="350" customWidth="1"/>
    <col min="7434" max="7435" width="0" style="350" hidden="1" customWidth="1"/>
    <col min="7436" max="7436" width="1.85546875" style="350" customWidth="1"/>
    <col min="7437" max="7437" width="8.7109375" style="350" customWidth="1"/>
    <col min="7438" max="7438" width="8.5703125" style="350" customWidth="1"/>
    <col min="7439" max="7439" width="10.140625" style="350" customWidth="1"/>
    <col min="7440" max="7440" width="4.7109375" style="350" customWidth="1"/>
    <col min="7441" max="7441" width="27.28515625" style="350" customWidth="1"/>
    <col min="7442" max="7442" width="24.7109375" style="350" customWidth="1"/>
    <col min="7443" max="7443" width="25.140625" style="350" customWidth="1"/>
    <col min="7444" max="7444" width="17.7109375" style="350" customWidth="1"/>
    <col min="7445" max="7445" width="3.7109375" style="350" customWidth="1"/>
    <col min="7446" max="7446" width="24.5703125" style="350" customWidth="1"/>
    <col min="7447" max="7449" width="35.85546875" style="350" customWidth="1"/>
    <col min="7450" max="7680" width="11.42578125" style="350"/>
    <col min="7681" max="7681" width="2.140625" style="350" customWidth="1"/>
    <col min="7682" max="7682" width="6.85546875" style="350" customWidth="1"/>
    <col min="7683" max="7683" width="30.7109375" style="350" customWidth="1"/>
    <col min="7684" max="7684" width="7.28515625" style="350" customWidth="1"/>
    <col min="7685" max="7685" width="9.7109375" style="350" customWidth="1"/>
    <col min="7686" max="7686" width="11.7109375" style="350" customWidth="1"/>
    <col min="7687" max="7687" width="9.5703125" style="350" customWidth="1"/>
    <col min="7688" max="7688" width="11" style="350" customWidth="1"/>
    <col min="7689" max="7689" width="10.28515625" style="350" customWidth="1"/>
    <col min="7690" max="7691" width="0" style="350" hidden="1" customWidth="1"/>
    <col min="7692" max="7692" width="1.85546875" style="350" customWidth="1"/>
    <col min="7693" max="7693" width="8.7109375" style="350" customWidth="1"/>
    <col min="7694" max="7694" width="8.5703125" style="350" customWidth="1"/>
    <col min="7695" max="7695" width="10.140625" style="350" customWidth="1"/>
    <col min="7696" max="7696" width="4.7109375" style="350" customWidth="1"/>
    <col min="7697" max="7697" width="27.28515625" style="350" customWidth="1"/>
    <col min="7698" max="7698" width="24.7109375" style="350" customWidth="1"/>
    <col min="7699" max="7699" width="25.140625" style="350" customWidth="1"/>
    <col min="7700" max="7700" width="17.7109375" style="350" customWidth="1"/>
    <col min="7701" max="7701" width="3.7109375" style="350" customWidth="1"/>
    <col min="7702" max="7702" width="24.5703125" style="350" customWidth="1"/>
    <col min="7703" max="7705" width="35.85546875" style="350" customWidth="1"/>
    <col min="7706" max="7936" width="11.42578125" style="350"/>
    <col min="7937" max="7937" width="2.140625" style="350" customWidth="1"/>
    <col min="7938" max="7938" width="6.85546875" style="350" customWidth="1"/>
    <col min="7939" max="7939" width="30.7109375" style="350" customWidth="1"/>
    <col min="7940" max="7940" width="7.28515625" style="350" customWidth="1"/>
    <col min="7941" max="7941" width="9.7109375" style="350" customWidth="1"/>
    <col min="7942" max="7942" width="11.7109375" style="350" customWidth="1"/>
    <col min="7943" max="7943" width="9.5703125" style="350" customWidth="1"/>
    <col min="7944" max="7944" width="11" style="350" customWidth="1"/>
    <col min="7945" max="7945" width="10.28515625" style="350" customWidth="1"/>
    <col min="7946" max="7947" width="0" style="350" hidden="1" customWidth="1"/>
    <col min="7948" max="7948" width="1.85546875" style="350" customWidth="1"/>
    <col min="7949" max="7949" width="8.7109375" style="350" customWidth="1"/>
    <col min="7950" max="7950" width="8.5703125" style="350" customWidth="1"/>
    <col min="7951" max="7951" width="10.140625" style="350" customWidth="1"/>
    <col min="7952" max="7952" width="4.7109375" style="350" customWidth="1"/>
    <col min="7953" max="7953" width="27.28515625" style="350" customWidth="1"/>
    <col min="7954" max="7954" width="24.7109375" style="350" customWidth="1"/>
    <col min="7955" max="7955" width="25.140625" style="350" customWidth="1"/>
    <col min="7956" max="7956" width="17.7109375" style="350" customWidth="1"/>
    <col min="7957" max="7957" width="3.7109375" style="350" customWidth="1"/>
    <col min="7958" max="7958" width="24.5703125" style="350" customWidth="1"/>
    <col min="7959" max="7961" width="35.85546875" style="350" customWidth="1"/>
    <col min="7962" max="8192" width="11.42578125" style="350"/>
    <col min="8193" max="8193" width="2.140625" style="350" customWidth="1"/>
    <col min="8194" max="8194" width="6.85546875" style="350" customWidth="1"/>
    <col min="8195" max="8195" width="30.7109375" style="350" customWidth="1"/>
    <col min="8196" max="8196" width="7.28515625" style="350" customWidth="1"/>
    <col min="8197" max="8197" width="9.7109375" style="350" customWidth="1"/>
    <col min="8198" max="8198" width="11.7109375" style="350" customWidth="1"/>
    <col min="8199" max="8199" width="9.5703125" style="350" customWidth="1"/>
    <col min="8200" max="8200" width="11" style="350" customWidth="1"/>
    <col min="8201" max="8201" width="10.28515625" style="350" customWidth="1"/>
    <col min="8202" max="8203" width="0" style="350" hidden="1" customWidth="1"/>
    <col min="8204" max="8204" width="1.85546875" style="350" customWidth="1"/>
    <col min="8205" max="8205" width="8.7109375" style="350" customWidth="1"/>
    <col min="8206" max="8206" width="8.5703125" style="350" customWidth="1"/>
    <col min="8207" max="8207" width="10.140625" style="350" customWidth="1"/>
    <col min="8208" max="8208" width="4.7109375" style="350" customWidth="1"/>
    <col min="8209" max="8209" width="27.28515625" style="350" customWidth="1"/>
    <col min="8210" max="8210" width="24.7109375" style="350" customWidth="1"/>
    <col min="8211" max="8211" width="25.140625" style="350" customWidth="1"/>
    <col min="8212" max="8212" width="17.7109375" style="350" customWidth="1"/>
    <col min="8213" max="8213" width="3.7109375" style="350" customWidth="1"/>
    <col min="8214" max="8214" width="24.5703125" style="350" customWidth="1"/>
    <col min="8215" max="8217" width="35.85546875" style="350" customWidth="1"/>
    <col min="8218" max="8448" width="11.42578125" style="350"/>
    <col min="8449" max="8449" width="2.140625" style="350" customWidth="1"/>
    <col min="8450" max="8450" width="6.85546875" style="350" customWidth="1"/>
    <col min="8451" max="8451" width="30.7109375" style="350" customWidth="1"/>
    <col min="8452" max="8452" width="7.28515625" style="350" customWidth="1"/>
    <col min="8453" max="8453" width="9.7109375" style="350" customWidth="1"/>
    <col min="8454" max="8454" width="11.7109375" style="350" customWidth="1"/>
    <col min="8455" max="8455" width="9.5703125" style="350" customWidth="1"/>
    <col min="8456" max="8456" width="11" style="350" customWidth="1"/>
    <col min="8457" max="8457" width="10.28515625" style="350" customWidth="1"/>
    <col min="8458" max="8459" width="0" style="350" hidden="1" customWidth="1"/>
    <col min="8460" max="8460" width="1.85546875" style="350" customWidth="1"/>
    <col min="8461" max="8461" width="8.7109375" style="350" customWidth="1"/>
    <col min="8462" max="8462" width="8.5703125" style="350" customWidth="1"/>
    <col min="8463" max="8463" width="10.140625" style="350" customWidth="1"/>
    <col min="8464" max="8464" width="4.7109375" style="350" customWidth="1"/>
    <col min="8465" max="8465" width="27.28515625" style="350" customWidth="1"/>
    <col min="8466" max="8466" width="24.7109375" style="350" customWidth="1"/>
    <col min="8467" max="8467" width="25.140625" style="350" customWidth="1"/>
    <col min="8468" max="8468" width="17.7109375" style="350" customWidth="1"/>
    <col min="8469" max="8469" width="3.7109375" style="350" customWidth="1"/>
    <col min="8470" max="8470" width="24.5703125" style="350" customWidth="1"/>
    <col min="8471" max="8473" width="35.85546875" style="350" customWidth="1"/>
    <col min="8474" max="8704" width="11.42578125" style="350"/>
    <col min="8705" max="8705" width="2.140625" style="350" customWidth="1"/>
    <col min="8706" max="8706" width="6.85546875" style="350" customWidth="1"/>
    <col min="8707" max="8707" width="30.7109375" style="350" customWidth="1"/>
    <col min="8708" max="8708" width="7.28515625" style="350" customWidth="1"/>
    <col min="8709" max="8709" width="9.7109375" style="350" customWidth="1"/>
    <col min="8710" max="8710" width="11.7109375" style="350" customWidth="1"/>
    <col min="8711" max="8711" width="9.5703125" style="350" customWidth="1"/>
    <col min="8712" max="8712" width="11" style="350" customWidth="1"/>
    <col min="8713" max="8713" width="10.28515625" style="350" customWidth="1"/>
    <col min="8714" max="8715" width="0" style="350" hidden="1" customWidth="1"/>
    <col min="8716" max="8716" width="1.85546875" style="350" customWidth="1"/>
    <col min="8717" max="8717" width="8.7109375" style="350" customWidth="1"/>
    <col min="8718" max="8718" width="8.5703125" style="350" customWidth="1"/>
    <col min="8719" max="8719" width="10.140625" style="350" customWidth="1"/>
    <col min="8720" max="8720" width="4.7109375" style="350" customWidth="1"/>
    <col min="8721" max="8721" width="27.28515625" style="350" customWidth="1"/>
    <col min="8722" max="8722" width="24.7109375" style="350" customWidth="1"/>
    <col min="8723" max="8723" width="25.140625" style="350" customWidth="1"/>
    <col min="8724" max="8724" width="17.7109375" style="350" customWidth="1"/>
    <col min="8725" max="8725" width="3.7109375" style="350" customWidth="1"/>
    <col min="8726" max="8726" width="24.5703125" style="350" customWidth="1"/>
    <col min="8727" max="8729" width="35.85546875" style="350" customWidth="1"/>
    <col min="8730" max="8960" width="11.42578125" style="350"/>
    <col min="8961" max="8961" width="2.140625" style="350" customWidth="1"/>
    <col min="8962" max="8962" width="6.85546875" style="350" customWidth="1"/>
    <col min="8963" max="8963" width="30.7109375" style="350" customWidth="1"/>
    <col min="8964" max="8964" width="7.28515625" style="350" customWidth="1"/>
    <col min="8965" max="8965" width="9.7109375" style="350" customWidth="1"/>
    <col min="8966" max="8966" width="11.7109375" style="350" customWidth="1"/>
    <col min="8967" max="8967" width="9.5703125" style="350" customWidth="1"/>
    <col min="8968" max="8968" width="11" style="350" customWidth="1"/>
    <col min="8969" max="8969" width="10.28515625" style="350" customWidth="1"/>
    <col min="8970" max="8971" width="0" style="350" hidden="1" customWidth="1"/>
    <col min="8972" max="8972" width="1.85546875" style="350" customWidth="1"/>
    <col min="8973" max="8973" width="8.7109375" style="350" customWidth="1"/>
    <col min="8974" max="8974" width="8.5703125" style="350" customWidth="1"/>
    <col min="8975" max="8975" width="10.140625" style="350" customWidth="1"/>
    <col min="8976" max="8976" width="4.7109375" style="350" customWidth="1"/>
    <col min="8977" max="8977" width="27.28515625" style="350" customWidth="1"/>
    <col min="8978" max="8978" width="24.7109375" style="350" customWidth="1"/>
    <col min="8979" max="8979" width="25.140625" style="350" customWidth="1"/>
    <col min="8980" max="8980" width="17.7109375" style="350" customWidth="1"/>
    <col min="8981" max="8981" width="3.7109375" style="350" customWidth="1"/>
    <col min="8982" max="8982" width="24.5703125" style="350" customWidth="1"/>
    <col min="8983" max="8985" width="35.85546875" style="350" customWidth="1"/>
    <col min="8986" max="9216" width="11.42578125" style="350"/>
    <col min="9217" max="9217" width="2.140625" style="350" customWidth="1"/>
    <col min="9218" max="9218" width="6.85546875" style="350" customWidth="1"/>
    <col min="9219" max="9219" width="30.7109375" style="350" customWidth="1"/>
    <col min="9220" max="9220" width="7.28515625" style="350" customWidth="1"/>
    <col min="9221" max="9221" width="9.7109375" style="350" customWidth="1"/>
    <col min="9222" max="9222" width="11.7109375" style="350" customWidth="1"/>
    <col min="9223" max="9223" width="9.5703125" style="350" customWidth="1"/>
    <col min="9224" max="9224" width="11" style="350" customWidth="1"/>
    <col min="9225" max="9225" width="10.28515625" style="350" customWidth="1"/>
    <col min="9226" max="9227" width="0" style="350" hidden="1" customWidth="1"/>
    <col min="9228" max="9228" width="1.85546875" style="350" customWidth="1"/>
    <col min="9229" max="9229" width="8.7109375" style="350" customWidth="1"/>
    <col min="9230" max="9230" width="8.5703125" style="350" customWidth="1"/>
    <col min="9231" max="9231" width="10.140625" style="350" customWidth="1"/>
    <col min="9232" max="9232" width="4.7109375" style="350" customWidth="1"/>
    <col min="9233" max="9233" width="27.28515625" style="350" customWidth="1"/>
    <col min="9234" max="9234" width="24.7109375" style="350" customWidth="1"/>
    <col min="9235" max="9235" width="25.140625" style="350" customWidth="1"/>
    <col min="9236" max="9236" width="17.7109375" style="350" customWidth="1"/>
    <col min="9237" max="9237" width="3.7109375" style="350" customWidth="1"/>
    <col min="9238" max="9238" width="24.5703125" style="350" customWidth="1"/>
    <col min="9239" max="9241" width="35.85546875" style="350" customWidth="1"/>
    <col min="9242" max="9472" width="11.42578125" style="350"/>
    <col min="9473" max="9473" width="2.140625" style="350" customWidth="1"/>
    <col min="9474" max="9474" width="6.85546875" style="350" customWidth="1"/>
    <col min="9475" max="9475" width="30.7109375" style="350" customWidth="1"/>
    <col min="9476" max="9476" width="7.28515625" style="350" customWidth="1"/>
    <col min="9477" max="9477" width="9.7109375" style="350" customWidth="1"/>
    <col min="9478" max="9478" width="11.7109375" style="350" customWidth="1"/>
    <col min="9479" max="9479" width="9.5703125" style="350" customWidth="1"/>
    <col min="9480" max="9480" width="11" style="350" customWidth="1"/>
    <col min="9481" max="9481" width="10.28515625" style="350" customWidth="1"/>
    <col min="9482" max="9483" width="0" style="350" hidden="1" customWidth="1"/>
    <col min="9484" max="9484" width="1.85546875" style="350" customWidth="1"/>
    <col min="9485" max="9485" width="8.7109375" style="350" customWidth="1"/>
    <col min="9486" max="9486" width="8.5703125" style="350" customWidth="1"/>
    <col min="9487" max="9487" width="10.140625" style="350" customWidth="1"/>
    <col min="9488" max="9488" width="4.7109375" style="350" customWidth="1"/>
    <col min="9489" max="9489" width="27.28515625" style="350" customWidth="1"/>
    <col min="9490" max="9490" width="24.7109375" style="350" customWidth="1"/>
    <col min="9491" max="9491" width="25.140625" style="350" customWidth="1"/>
    <col min="9492" max="9492" width="17.7109375" style="350" customWidth="1"/>
    <col min="9493" max="9493" width="3.7109375" style="350" customWidth="1"/>
    <col min="9494" max="9494" width="24.5703125" style="350" customWidth="1"/>
    <col min="9495" max="9497" width="35.85546875" style="350" customWidth="1"/>
    <col min="9498" max="9728" width="11.42578125" style="350"/>
    <col min="9729" max="9729" width="2.140625" style="350" customWidth="1"/>
    <col min="9730" max="9730" width="6.85546875" style="350" customWidth="1"/>
    <col min="9731" max="9731" width="30.7109375" style="350" customWidth="1"/>
    <col min="9732" max="9732" width="7.28515625" style="350" customWidth="1"/>
    <col min="9733" max="9733" width="9.7109375" style="350" customWidth="1"/>
    <col min="9734" max="9734" width="11.7109375" style="350" customWidth="1"/>
    <col min="9735" max="9735" width="9.5703125" style="350" customWidth="1"/>
    <col min="9736" max="9736" width="11" style="350" customWidth="1"/>
    <col min="9737" max="9737" width="10.28515625" style="350" customWidth="1"/>
    <col min="9738" max="9739" width="0" style="350" hidden="1" customWidth="1"/>
    <col min="9740" max="9740" width="1.85546875" style="350" customWidth="1"/>
    <col min="9741" max="9741" width="8.7109375" style="350" customWidth="1"/>
    <col min="9742" max="9742" width="8.5703125" style="350" customWidth="1"/>
    <col min="9743" max="9743" width="10.140625" style="350" customWidth="1"/>
    <col min="9744" max="9744" width="4.7109375" style="350" customWidth="1"/>
    <col min="9745" max="9745" width="27.28515625" style="350" customWidth="1"/>
    <col min="9746" max="9746" width="24.7109375" style="350" customWidth="1"/>
    <col min="9747" max="9747" width="25.140625" style="350" customWidth="1"/>
    <col min="9748" max="9748" width="17.7109375" style="350" customWidth="1"/>
    <col min="9749" max="9749" width="3.7109375" style="350" customWidth="1"/>
    <col min="9750" max="9750" width="24.5703125" style="350" customWidth="1"/>
    <col min="9751" max="9753" width="35.85546875" style="350" customWidth="1"/>
    <col min="9754" max="9984" width="11.42578125" style="350"/>
    <col min="9985" max="9985" width="2.140625" style="350" customWidth="1"/>
    <col min="9986" max="9986" width="6.85546875" style="350" customWidth="1"/>
    <col min="9987" max="9987" width="30.7109375" style="350" customWidth="1"/>
    <col min="9988" max="9988" width="7.28515625" style="350" customWidth="1"/>
    <col min="9989" max="9989" width="9.7109375" style="350" customWidth="1"/>
    <col min="9990" max="9990" width="11.7109375" style="350" customWidth="1"/>
    <col min="9991" max="9991" width="9.5703125" style="350" customWidth="1"/>
    <col min="9992" max="9992" width="11" style="350" customWidth="1"/>
    <col min="9993" max="9993" width="10.28515625" style="350" customWidth="1"/>
    <col min="9994" max="9995" width="0" style="350" hidden="1" customWidth="1"/>
    <col min="9996" max="9996" width="1.85546875" style="350" customWidth="1"/>
    <col min="9997" max="9997" width="8.7109375" style="350" customWidth="1"/>
    <col min="9998" max="9998" width="8.5703125" style="350" customWidth="1"/>
    <col min="9999" max="9999" width="10.140625" style="350" customWidth="1"/>
    <col min="10000" max="10000" width="4.7109375" style="350" customWidth="1"/>
    <col min="10001" max="10001" width="27.28515625" style="350" customWidth="1"/>
    <col min="10002" max="10002" width="24.7109375" style="350" customWidth="1"/>
    <col min="10003" max="10003" width="25.140625" style="350" customWidth="1"/>
    <col min="10004" max="10004" width="17.7109375" style="350" customWidth="1"/>
    <col min="10005" max="10005" width="3.7109375" style="350" customWidth="1"/>
    <col min="10006" max="10006" width="24.5703125" style="350" customWidth="1"/>
    <col min="10007" max="10009" width="35.85546875" style="350" customWidth="1"/>
    <col min="10010" max="10240" width="11.42578125" style="350"/>
    <col min="10241" max="10241" width="2.140625" style="350" customWidth="1"/>
    <col min="10242" max="10242" width="6.85546875" style="350" customWidth="1"/>
    <col min="10243" max="10243" width="30.7109375" style="350" customWidth="1"/>
    <col min="10244" max="10244" width="7.28515625" style="350" customWidth="1"/>
    <col min="10245" max="10245" width="9.7109375" style="350" customWidth="1"/>
    <col min="10246" max="10246" width="11.7109375" style="350" customWidth="1"/>
    <col min="10247" max="10247" width="9.5703125" style="350" customWidth="1"/>
    <col min="10248" max="10248" width="11" style="350" customWidth="1"/>
    <col min="10249" max="10249" width="10.28515625" style="350" customWidth="1"/>
    <col min="10250" max="10251" width="0" style="350" hidden="1" customWidth="1"/>
    <col min="10252" max="10252" width="1.85546875" style="350" customWidth="1"/>
    <col min="10253" max="10253" width="8.7109375" style="350" customWidth="1"/>
    <col min="10254" max="10254" width="8.5703125" style="350" customWidth="1"/>
    <col min="10255" max="10255" width="10.140625" style="350" customWidth="1"/>
    <col min="10256" max="10256" width="4.7109375" style="350" customWidth="1"/>
    <col min="10257" max="10257" width="27.28515625" style="350" customWidth="1"/>
    <col min="10258" max="10258" width="24.7109375" style="350" customWidth="1"/>
    <col min="10259" max="10259" width="25.140625" style="350" customWidth="1"/>
    <col min="10260" max="10260" width="17.7109375" style="350" customWidth="1"/>
    <col min="10261" max="10261" width="3.7109375" style="350" customWidth="1"/>
    <col min="10262" max="10262" width="24.5703125" style="350" customWidth="1"/>
    <col min="10263" max="10265" width="35.85546875" style="350" customWidth="1"/>
    <col min="10266" max="10496" width="11.42578125" style="350"/>
    <col min="10497" max="10497" width="2.140625" style="350" customWidth="1"/>
    <col min="10498" max="10498" width="6.85546875" style="350" customWidth="1"/>
    <col min="10499" max="10499" width="30.7109375" style="350" customWidth="1"/>
    <col min="10500" max="10500" width="7.28515625" style="350" customWidth="1"/>
    <col min="10501" max="10501" width="9.7109375" style="350" customWidth="1"/>
    <col min="10502" max="10502" width="11.7109375" style="350" customWidth="1"/>
    <col min="10503" max="10503" width="9.5703125" style="350" customWidth="1"/>
    <col min="10504" max="10504" width="11" style="350" customWidth="1"/>
    <col min="10505" max="10505" width="10.28515625" style="350" customWidth="1"/>
    <col min="10506" max="10507" width="0" style="350" hidden="1" customWidth="1"/>
    <col min="10508" max="10508" width="1.85546875" style="350" customWidth="1"/>
    <col min="10509" max="10509" width="8.7109375" style="350" customWidth="1"/>
    <col min="10510" max="10510" width="8.5703125" style="350" customWidth="1"/>
    <col min="10511" max="10511" width="10.140625" style="350" customWidth="1"/>
    <col min="10512" max="10512" width="4.7109375" style="350" customWidth="1"/>
    <col min="10513" max="10513" width="27.28515625" style="350" customWidth="1"/>
    <col min="10514" max="10514" width="24.7109375" style="350" customWidth="1"/>
    <col min="10515" max="10515" width="25.140625" style="350" customWidth="1"/>
    <col min="10516" max="10516" width="17.7109375" style="350" customWidth="1"/>
    <col min="10517" max="10517" width="3.7109375" style="350" customWidth="1"/>
    <col min="10518" max="10518" width="24.5703125" style="350" customWidth="1"/>
    <col min="10519" max="10521" width="35.85546875" style="350" customWidth="1"/>
    <col min="10522" max="10752" width="11.42578125" style="350"/>
    <col min="10753" max="10753" width="2.140625" style="350" customWidth="1"/>
    <col min="10754" max="10754" width="6.85546875" style="350" customWidth="1"/>
    <col min="10755" max="10755" width="30.7109375" style="350" customWidth="1"/>
    <col min="10756" max="10756" width="7.28515625" style="350" customWidth="1"/>
    <col min="10757" max="10757" width="9.7109375" style="350" customWidth="1"/>
    <col min="10758" max="10758" width="11.7109375" style="350" customWidth="1"/>
    <col min="10759" max="10759" width="9.5703125" style="350" customWidth="1"/>
    <col min="10760" max="10760" width="11" style="350" customWidth="1"/>
    <col min="10761" max="10761" width="10.28515625" style="350" customWidth="1"/>
    <col min="10762" max="10763" width="0" style="350" hidden="1" customWidth="1"/>
    <col min="10764" max="10764" width="1.85546875" style="350" customWidth="1"/>
    <col min="10765" max="10765" width="8.7109375" style="350" customWidth="1"/>
    <col min="10766" max="10766" width="8.5703125" style="350" customWidth="1"/>
    <col min="10767" max="10767" width="10.140625" style="350" customWidth="1"/>
    <col min="10768" max="10768" width="4.7109375" style="350" customWidth="1"/>
    <col min="10769" max="10769" width="27.28515625" style="350" customWidth="1"/>
    <col min="10770" max="10770" width="24.7109375" style="350" customWidth="1"/>
    <col min="10771" max="10771" width="25.140625" style="350" customWidth="1"/>
    <col min="10772" max="10772" width="17.7109375" style="350" customWidth="1"/>
    <col min="10773" max="10773" width="3.7109375" style="350" customWidth="1"/>
    <col min="10774" max="10774" width="24.5703125" style="350" customWidth="1"/>
    <col min="10775" max="10777" width="35.85546875" style="350" customWidth="1"/>
    <col min="10778" max="11008" width="11.42578125" style="350"/>
    <col min="11009" max="11009" width="2.140625" style="350" customWidth="1"/>
    <col min="11010" max="11010" width="6.85546875" style="350" customWidth="1"/>
    <col min="11011" max="11011" width="30.7109375" style="350" customWidth="1"/>
    <col min="11012" max="11012" width="7.28515625" style="350" customWidth="1"/>
    <col min="11013" max="11013" width="9.7109375" style="350" customWidth="1"/>
    <col min="11014" max="11014" width="11.7109375" style="350" customWidth="1"/>
    <col min="11015" max="11015" width="9.5703125" style="350" customWidth="1"/>
    <col min="11016" max="11016" width="11" style="350" customWidth="1"/>
    <col min="11017" max="11017" width="10.28515625" style="350" customWidth="1"/>
    <col min="11018" max="11019" width="0" style="350" hidden="1" customWidth="1"/>
    <col min="11020" max="11020" width="1.85546875" style="350" customWidth="1"/>
    <col min="11021" max="11021" width="8.7109375" style="350" customWidth="1"/>
    <col min="11022" max="11022" width="8.5703125" style="350" customWidth="1"/>
    <col min="11023" max="11023" width="10.140625" style="350" customWidth="1"/>
    <col min="11024" max="11024" width="4.7109375" style="350" customWidth="1"/>
    <col min="11025" max="11025" width="27.28515625" style="350" customWidth="1"/>
    <col min="11026" max="11026" width="24.7109375" style="350" customWidth="1"/>
    <col min="11027" max="11027" width="25.140625" style="350" customWidth="1"/>
    <col min="11028" max="11028" width="17.7109375" style="350" customWidth="1"/>
    <col min="11029" max="11029" width="3.7109375" style="350" customWidth="1"/>
    <col min="11030" max="11030" width="24.5703125" style="350" customWidth="1"/>
    <col min="11031" max="11033" width="35.85546875" style="350" customWidth="1"/>
    <col min="11034" max="11264" width="11.42578125" style="350"/>
    <col min="11265" max="11265" width="2.140625" style="350" customWidth="1"/>
    <col min="11266" max="11266" width="6.85546875" style="350" customWidth="1"/>
    <col min="11267" max="11267" width="30.7109375" style="350" customWidth="1"/>
    <col min="11268" max="11268" width="7.28515625" style="350" customWidth="1"/>
    <col min="11269" max="11269" width="9.7109375" style="350" customWidth="1"/>
    <col min="11270" max="11270" width="11.7109375" style="350" customWidth="1"/>
    <col min="11271" max="11271" width="9.5703125" style="350" customWidth="1"/>
    <col min="11272" max="11272" width="11" style="350" customWidth="1"/>
    <col min="11273" max="11273" width="10.28515625" style="350" customWidth="1"/>
    <col min="11274" max="11275" width="0" style="350" hidden="1" customWidth="1"/>
    <col min="11276" max="11276" width="1.85546875" style="350" customWidth="1"/>
    <col min="11277" max="11277" width="8.7109375" style="350" customWidth="1"/>
    <col min="11278" max="11278" width="8.5703125" style="350" customWidth="1"/>
    <col min="11279" max="11279" width="10.140625" style="350" customWidth="1"/>
    <col min="11280" max="11280" width="4.7109375" style="350" customWidth="1"/>
    <col min="11281" max="11281" width="27.28515625" style="350" customWidth="1"/>
    <col min="11282" max="11282" width="24.7109375" style="350" customWidth="1"/>
    <col min="11283" max="11283" width="25.140625" style="350" customWidth="1"/>
    <col min="11284" max="11284" width="17.7109375" style="350" customWidth="1"/>
    <col min="11285" max="11285" width="3.7109375" style="350" customWidth="1"/>
    <col min="11286" max="11286" width="24.5703125" style="350" customWidth="1"/>
    <col min="11287" max="11289" width="35.85546875" style="350" customWidth="1"/>
    <col min="11290" max="11520" width="11.42578125" style="350"/>
    <col min="11521" max="11521" width="2.140625" style="350" customWidth="1"/>
    <col min="11522" max="11522" width="6.85546875" style="350" customWidth="1"/>
    <col min="11523" max="11523" width="30.7109375" style="350" customWidth="1"/>
    <col min="11524" max="11524" width="7.28515625" style="350" customWidth="1"/>
    <col min="11525" max="11525" width="9.7109375" style="350" customWidth="1"/>
    <col min="11526" max="11526" width="11.7109375" style="350" customWidth="1"/>
    <col min="11527" max="11527" width="9.5703125" style="350" customWidth="1"/>
    <col min="11528" max="11528" width="11" style="350" customWidth="1"/>
    <col min="11529" max="11529" width="10.28515625" style="350" customWidth="1"/>
    <col min="11530" max="11531" width="0" style="350" hidden="1" customWidth="1"/>
    <col min="11532" max="11532" width="1.85546875" style="350" customWidth="1"/>
    <col min="11533" max="11533" width="8.7109375" style="350" customWidth="1"/>
    <col min="11534" max="11534" width="8.5703125" style="350" customWidth="1"/>
    <col min="11535" max="11535" width="10.140625" style="350" customWidth="1"/>
    <col min="11536" max="11536" width="4.7109375" style="350" customWidth="1"/>
    <col min="11537" max="11537" width="27.28515625" style="350" customWidth="1"/>
    <col min="11538" max="11538" width="24.7109375" style="350" customWidth="1"/>
    <col min="11539" max="11539" width="25.140625" style="350" customWidth="1"/>
    <col min="11540" max="11540" width="17.7109375" style="350" customWidth="1"/>
    <col min="11541" max="11541" width="3.7109375" style="350" customWidth="1"/>
    <col min="11542" max="11542" width="24.5703125" style="350" customWidth="1"/>
    <col min="11543" max="11545" width="35.85546875" style="350" customWidth="1"/>
    <col min="11546" max="11776" width="11.42578125" style="350"/>
    <col min="11777" max="11777" width="2.140625" style="350" customWidth="1"/>
    <col min="11778" max="11778" width="6.85546875" style="350" customWidth="1"/>
    <col min="11779" max="11779" width="30.7109375" style="350" customWidth="1"/>
    <col min="11780" max="11780" width="7.28515625" style="350" customWidth="1"/>
    <col min="11781" max="11781" width="9.7109375" style="350" customWidth="1"/>
    <col min="11782" max="11782" width="11.7109375" style="350" customWidth="1"/>
    <col min="11783" max="11783" width="9.5703125" style="350" customWidth="1"/>
    <col min="11784" max="11784" width="11" style="350" customWidth="1"/>
    <col min="11785" max="11785" width="10.28515625" style="350" customWidth="1"/>
    <col min="11786" max="11787" width="0" style="350" hidden="1" customWidth="1"/>
    <col min="11788" max="11788" width="1.85546875" style="350" customWidth="1"/>
    <col min="11789" max="11789" width="8.7109375" style="350" customWidth="1"/>
    <col min="11790" max="11790" width="8.5703125" style="350" customWidth="1"/>
    <col min="11791" max="11791" width="10.140625" style="350" customWidth="1"/>
    <col min="11792" max="11792" width="4.7109375" style="350" customWidth="1"/>
    <col min="11793" max="11793" width="27.28515625" style="350" customWidth="1"/>
    <col min="11794" max="11794" width="24.7109375" style="350" customWidth="1"/>
    <col min="11795" max="11795" width="25.140625" style="350" customWidth="1"/>
    <col min="11796" max="11796" width="17.7109375" style="350" customWidth="1"/>
    <col min="11797" max="11797" width="3.7109375" style="350" customWidth="1"/>
    <col min="11798" max="11798" width="24.5703125" style="350" customWidth="1"/>
    <col min="11799" max="11801" width="35.85546875" style="350" customWidth="1"/>
    <col min="11802" max="12032" width="11.42578125" style="350"/>
    <col min="12033" max="12033" width="2.140625" style="350" customWidth="1"/>
    <col min="12034" max="12034" width="6.85546875" style="350" customWidth="1"/>
    <col min="12035" max="12035" width="30.7109375" style="350" customWidth="1"/>
    <col min="12036" max="12036" width="7.28515625" style="350" customWidth="1"/>
    <col min="12037" max="12037" width="9.7109375" style="350" customWidth="1"/>
    <col min="12038" max="12038" width="11.7109375" style="350" customWidth="1"/>
    <col min="12039" max="12039" width="9.5703125" style="350" customWidth="1"/>
    <col min="12040" max="12040" width="11" style="350" customWidth="1"/>
    <col min="12041" max="12041" width="10.28515625" style="350" customWidth="1"/>
    <col min="12042" max="12043" width="0" style="350" hidden="1" customWidth="1"/>
    <col min="12044" max="12044" width="1.85546875" style="350" customWidth="1"/>
    <col min="12045" max="12045" width="8.7109375" style="350" customWidth="1"/>
    <col min="12046" max="12046" width="8.5703125" style="350" customWidth="1"/>
    <col min="12047" max="12047" width="10.140625" style="350" customWidth="1"/>
    <col min="12048" max="12048" width="4.7109375" style="350" customWidth="1"/>
    <col min="12049" max="12049" width="27.28515625" style="350" customWidth="1"/>
    <col min="12050" max="12050" width="24.7109375" style="350" customWidth="1"/>
    <col min="12051" max="12051" width="25.140625" style="350" customWidth="1"/>
    <col min="12052" max="12052" width="17.7109375" style="350" customWidth="1"/>
    <col min="12053" max="12053" width="3.7109375" style="350" customWidth="1"/>
    <col min="12054" max="12054" width="24.5703125" style="350" customWidth="1"/>
    <col min="12055" max="12057" width="35.85546875" style="350" customWidth="1"/>
    <col min="12058" max="12288" width="11.42578125" style="350"/>
    <col min="12289" max="12289" width="2.140625" style="350" customWidth="1"/>
    <col min="12290" max="12290" width="6.85546875" style="350" customWidth="1"/>
    <col min="12291" max="12291" width="30.7109375" style="350" customWidth="1"/>
    <col min="12292" max="12292" width="7.28515625" style="350" customWidth="1"/>
    <col min="12293" max="12293" width="9.7109375" style="350" customWidth="1"/>
    <col min="12294" max="12294" width="11.7109375" style="350" customWidth="1"/>
    <col min="12295" max="12295" width="9.5703125" style="350" customWidth="1"/>
    <col min="12296" max="12296" width="11" style="350" customWidth="1"/>
    <col min="12297" max="12297" width="10.28515625" style="350" customWidth="1"/>
    <col min="12298" max="12299" width="0" style="350" hidden="1" customWidth="1"/>
    <col min="12300" max="12300" width="1.85546875" style="350" customWidth="1"/>
    <col min="12301" max="12301" width="8.7109375" style="350" customWidth="1"/>
    <col min="12302" max="12302" width="8.5703125" style="350" customWidth="1"/>
    <col min="12303" max="12303" width="10.140625" style="350" customWidth="1"/>
    <col min="12304" max="12304" width="4.7109375" style="350" customWidth="1"/>
    <col min="12305" max="12305" width="27.28515625" style="350" customWidth="1"/>
    <col min="12306" max="12306" width="24.7109375" style="350" customWidth="1"/>
    <col min="12307" max="12307" width="25.140625" style="350" customWidth="1"/>
    <col min="12308" max="12308" width="17.7109375" style="350" customWidth="1"/>
    <col min="12309" max="12309" width="3.7109375" style="350" customWidth="1"/>
    <col min="12310" max="12310" width="24.5703125" style="350" customWidth="1"/>
    <col min="12311" max="12313" width="35.85546875" style="350" customWidth="1"/>
    <col min="12314" max="12544" width="11.42578125" style="350"/>
    <col min="12545" max="12545" width="2.140625" style="350" customWidth="1"/>
    <col min="12546" max="12546" width="6.85546875" style="350" customWidth="1"/>
    <col min="12547" max="12547" width="30.7109375" style="350" customWidth="1"/>
    <col min="12548" max="12548" width="7.28515625" style="350" customWidth="1"/>
    <col min="12549" max="12549" width="9.7109375" style="350" customWidth="1"/>
    <col min="12550" max="12550" width="11.7109375" style="350" customWidth="1"/>
    <col min="12551" max="12551" width="9.5703125" style="350" customWidth="1"/>
    <col min="12552" max="12552" width="11" style="350" customWidth="1"/>
    <col min="12553" max="12553" width="10.28515625" style="350" customWidth="1"/>
    <col min="12554" max="12555" width="0" style="350" hidden="1" customWidth="1"/>
    <col min="12556" max="12556" width="1.85546875" style="350" customWidth="1"/>
    <col min="12557" max="12557" width="8.7109375" style="350" customWidth="1"/>
    <col min="12558" max="12558" width="8.5703125" style="350" customWidth="1"/>
    <col min="12559" max="12559" width="10.140625" style="350" customWidth="1"/>
    <col min="12560" max="12560" width="4.7109375" style="350" customWidth="1"/>
    <col min="12561" max="12561" width="27.28515625" style="350" customWidth="1"/>
    <col min="12562" max="12562" width="24.7109375" style="350" customWidth="1"/>
    <col min="12563" max="12563" width="25.140625" style="350" customWidth="1"/>
    <col min="12564" max="12564" width="17.7109375" style="350" customWidth="1"/>
    <col min="12565" max="12565" width="3.7109375" style="350" customWidth="1"/>
    <col min="12566" max="12566" width="24.5703125" style="350" customWidth="1"/>
    <col min="12567" max="12569" width="35.85546875" style="350" customWidth="1"/>
    <col min="12570" max="12800" width="11.42578125" style="350"/>
    <col min="12801" max="12801" width="2.140625" style="350" customWidth="1"/>
    <col min="12802" max="12802" width="6.85546875" style="350" customWidth="1"/>
    <col min="12803" max="12803" width="30.7109375" style="350" customWidth="1"/>
    <col min="12804" max="12804" width="7.28515625" style="350" customWidth="1"/>
    <col min="12805" max="12805" width="9.7109375" style="350" customWidth="1"/>
    <col min="12806" max="12806" width="11.7109375" style="350" customWidth="1"/>
    <col min="12807" max="12807" width="9.5703125" style="350" customWidth="1"/>
    <col min="12808" max="12808" width="11" style="350" customWidth="1"/>
    <col min="12809" max="12809" width="10.28515625" style="350" customWidth="1"/>
    <col min="12810" max="12811" width="0" style="350" hidden="1" customWidth="1"/>
    <col min="12812" max="12812" width="1.85546875" style="350" customWidth="1"/>
    <col min="12813" max="12813" width="8.7109375" style="350" customWidth="1"/>
    <col min="12814" max="12814" width="8.5703125" style="350" customWidth="1"/>
    <col min="12815" max="12815" width="10.140625" style="350" customWidth="1"/>
    <col min="12816" max="12816" width="4.7109375" style="350" customWidth="1"/>
    <col min="12817" max="12817" width="27.28515625" style="350" customWidth="1"/>
    <col min="12818" max="12818" width="24.7109375" style="350" customWidth="1"/>
    <col min="12819" max="12819" width="25.140625" style="350" customWidth="1"/>
    <col min="12820" max="12820" width="17.7109375" style="350" customWidth="1"/>
    <col min="12821" max="12821" width="3.7109375" style="350" customWidth="1"/>
    <col min="12822" max="12822" width="24.5703125" style="350" customWidth="1"/>
    <col min="12823" max="12825" width="35.85546875" style="350" customWidth="1"/>
    <col min="12826" max="13056" width="11.42578125" style="350"/>
    <col min="13057" max="13057" width="2.140625" style="350" customWidth="1"/>
    <col min="13058" max="13058" width="6.85546875" style="350" customWidth="1"/>
    <col min="13059" max="13059" width="30.7109375" style="350" customWidth="1"/>
    <col min="13060" max="13060" width="7.28515625" style="350" customWidth="1"/>
    <col min="13061" max="13061" width="9.7109375" style="350" customWidth="1"/>
    <col min="13062" max="13062" width="11.7109375" style="350" customWidth="1"/>
    <col min="13063" max="13063" width="9.5703125" style="350" customWidth="1"/>
    <col min="13064" max="13064" width="11" style="350" customWidth="1"/>
    <col min="13065" max="13065" width="10.28515625" style="350" customWidth="1"/>
    <col min="13066" max="13067" width="0" style="350" hidden="1" customWidth="1"/>
    <col min="13068" max="13068" width="1.85546875" style="350" customWidth="1"/>
    <col min="13069" max="13069" width="8.7109375" style="350" customWidth="1"/>
    <col min="13070" max="13070" width="8.5703125" style="350" customWidth="1"/>
    <col min="13071" max="13071" width="10.140625" style="350" customWidth="1"/>
    <col min="13072" max="13072" width="4.7109375" style="350" customWidth="1"/>
    <col min="13073" max="13073" width="27.28515625" style="350" customWidth="1"/>
    <col min="13074" max="13074" width="24.7109375" style="350" customWidth="1"/>
    <col min="13075" max="13075" width="25.140625" style="350" customWidth="1"/>
    <col min="13076" max="13076" width="17.7109375" style="350" customWidth="1"/>
    <col min="13077" max="13077" width="3.7109375" style="350" customWidth="1"/>
    <col min="13078" max="13078" width="24.5703125" style="350" customWidth="1"/>
    <col min="13079" max="13081" width="35.85546875" style="350" customWidth="1"/>
    <col min="13082" max="13312" width="11.42578125" style="350"/>
    <col min="13313" max="13313" width="2.140625" style="350" customWidth="1"/>
    <col min="13314" max="13314" width="6.85546875" style="350" customWidth="1"/>
    <col min="13315" max="13315" width="30.7109375" style="350" customWidth="1"/>
    <col min="13316" max="13316" width="7.28515625" style="350" customWidth="1"/>
    <col min="13317" max="13317" width="9.7109375" style="350" customWidth="1"/>
    <col min="13318" max="13318" width="11.7109375" style="350" customWidth="1"/>
    <col min="13319" max="13319" width="9.5703125" style="350" customWidth="1"/>
    <col min="13320" max="13320" width="11" style="350" customWidth="1"/>
    <col min="13321" max="13321" width="10.28515625" style="350" customWidth="1"/>
    <col min="13322" max="13323" width="0" style="350" hidden="1" customWidth="1"/>
    <col min="13324" max="13324" width="1.85546875" style="350" customWidth="1"/>
    <col min="13325" max="13325" width="8.7109375" style="350" customWidth="1"/>
    <col min="13326" max="13326" width="8.5703125" style="350" customWidth="1"/>
    <col min="13327" max="13327" width="10.140625" style="350" customWidth="1"/>
    <col min="13328" max="13328" width="4.7109375" style="350" customWidth="1"/>
    <col min="13329" max="13329" width="27.28515625" style="350" customWidth="1"/>
    <col min="13330" max="13330" width="24.7109375" style="350" customWidth="1"/>
    <col min="13331" max="13331" width="25.140625" style="350" customWidth="1"/>
    <col min="13332" max="13332" width="17.7109375" style="350" customWidth="1"/>
    <col min="13333" max="13333" width="3.7109375" style="350" customWidth="1"/>
    <col min="13334" max="13334" width="24.5703125" style="350" customWidth="1"/>
    <col min="13335" max="13337" width="35.85546875" style="350" customWidth="1"/>
    <col min="13338" max="13568" width="11.42578125" style="350"/>
    <col min="13569" max="13569" width="2.140625" style="350" customWidth="1"/>
    <col min="13570" max="13570" width="6.85546875" style="350" customWidth="1"/>
    <col min="13571" max="13571" width="30.7109375" style="350" customWidth="1"/>
    <col min="13572" max="13572" width="7.28515625" style="350" customWidth="1"/>
    <col min="13573" max="13573" width="9.7109375" style="350" customWidth="1"/>
    <col min="13574" max="13574" width="11.7109375" style="350" customWidth="1"/>
    <col min="13575" max="13575" width="9.5703125" style="350" customWidth="1"/>
    <col min="13576" max="13576" width="11" style="350" customWidth="1"/>
    <col min="13577" max="13577" width="10.28515625" style="350" customWidth="1"/>
    <col min="13578" max="13579" width="0" style="350" hidden="1" customWidth="1"/>
    <col min="13580" max="13580" width="1.85546875" style="350" customWidth="1"/>
    <col min="13581" max="13581" width="8.7109375" style="350" customWidth="1"/>
    <col min="13582" max="13582" width="8.5703125" style="350" customWidth="1"/>
    <col min="13583" max="13583" width="10.140625" style="350" customWidth="1"/>
    <col min="13584" max="13584" width="4.7109375" style="350" customWidth="1"/>
    <col min="13585" max="13585" width="27.28515625" style="350" customWidth="1"/>
    <col min="13586" max="13586" width="24.7109375" style="350" customWidth="1"/>
    <col min="13587" max="13587" width="25.140625" style="350" customWidth="1"/>
    <col min="13588" max="13588" width="17.7109375" style="350" customWidth="1"/>
    <col min="13589" max="13589" width="3.7109375" style="350" customWidth="1"/>
    <col min="13590" max="13590" width="24.5703125" style="350" customWidth="1"/>
    <col min="13591" max="13593" width="35.85546875" style="350" customWidth="1"/>
    <col min="13594" max="13824" width="11.42578125" style="350"/>
    <col min="13825" max="13825" width="2.140625" style="350" customWidth="1"/>
    <col min="13826" max="13826" width="6.85546875" style="350" customWidth="1"/>
    <col min="13827" max="13827" width="30.7109375" style="350" customWidth="1"/>
    <col min="13828" max="13828" width="7.28515625" style="350" customWidth="1"/>
    <col min="13829" max="13829" width="9.7109375" style="350" customWidth="1"/>
    <col min="13830" max="13830" width="11.7109375" style="350" customWidth="1"/>
    <col min="13831" max="13831" width="9.5703125" style="350" customWidth="1"/>
    <col min="13832" max="13832" width="11" style="350" customWidth="1"/>
    <col min="13833" max="13833" width="10.28515625" style="350" customWidth="1"/>
    <col min="13834" max="13835" width="0" style="350" hidden="1" customWidth="1"/>
    <col min="13836" max="13836" width="1.85546875" style="350" customWidth="1"/>
    <col min="13837" max="13837" width="8.7109375" style="350" customWidth="1"/>
    <col min="13838" max="13838" width="8.5703125" style="350" customWidth="1"/>
    <col min="13839" max="13839" width="10.140625" style="350" customWidth="1"/>
    <col min="13840" max="13840" width="4.7109375" style="350" customWidth="1"/>
    <col min="13841" max="13841" width="27.28515625" style="350" customWidth="1"/>
    <col min="13842" max="13842" width="24.7109375" style="350" customWidth="1"/>
    <col min="13843" max="13843" width="25.140625" style="350" customWidth="1"/>
    <col min="13844" max="13844" width="17.7109375" style="350" customWidth="1"/>
    <col min="13845" max="13845" width="3.7109375" style="350" customWidth="1"/>
    <col min="13846" max="13846" width="24.5703125" style="350" customWidth="1"/>
    <col min="13847" max="13849" width="35.85546875" style="350" customWidth="1"/>
    <col min="13850" max="14080" width="11.42578125" style="350"/>
    <col min="14081" max="14081" width="2.140625" style="350" customWidth="1"/>
    <col min="14082" max="14082" width="6.85546875" style="350" customWidth="1"/>
    <col min="14083" max="14083" width="30.7109375" style="350" customWidth="1"/>
    <col min="14084" max="14084" width="7.28515625" style="350" customWidth="1"/>
    <col min="14085" max="14085" width="9.7109375" style="350" customWidth="1"/>
    <col min="14086" max="14086" width="11.7109375" style="350" customWidth="1"/>
    <col min="14087" max="14087" width="9.5703125" style="350" customWidth="1"/>
    <col min="14088" max="14088" width="11" style="350" customWidth="1"/>
    <col min="14089" max="14089" width="10.28515625" style="350" customWidth="1"/>
    <col min="14090" max="14091" width="0" style="350" hidden="1" customWidth="1"/>
    <col min="14092" max="14092" width="1.85546875" style="350" customWidth="1"/>
    <col min="14093" max="14093" width="8.7109375" style="350" customWidth="1"/>
    <col min="14094" max="14094" width="8.5703125" style="350" customWidth="1"/>
    <col min="14095" max="14095" width="10.140625" style="350" customWidth="1"/>
    <col min="14096" max="14096" width="4.7109375" style="350" customWidth="1"/>
    <col min="14097" max="14097" width="27.28515625" style="350" customWidth="1"/>
    <col min="14098" max="14098" width="24.7109375" style="350" customWidth="1"/>
    <col min="14099" max="14099" width="25.140625" style="350" customWidth="1"/>
    <col min="14100" max="14100" width="17.7109375" style="350" customWidth="1"/>
    <col min="14101" max="14101" width="3.7109375" style="350" customWidth="1"/>
    <col min="14102" max="14102" width="24.5703125" style="350" customWidth="1"/>
    <col min="14103" max="14105" width="35.85546875" style="350" customWidth="1"/>
    <col min="14106" max="14336" width="11.42578125" style="350"/>
    <col min="14337" max="14337" width="2.140625" style="350" customWidth="1"/>
    <col min="14338" max="14338" width="6.85546875" style="350" customWidth="1"/>
    <col min="14339" max="14339" width="30.7109375" style="350" customWidth="1"/>
    <col min="14340" max="14340" width="7.28515625" style="350" customWidth="1"/>
    <col min="14341" max="14341" width="9.7109375" style="350" customWidth="1"/>
    <col min="14342" max="14342" width="11.7109375" style="350" customWidth="1"/>
    <col min="14343" max="14343" width="9.5703125" style="350" customWidth="1"/>
    <col min="14344" max="14344" width="11" style="350" customWidth="1"/>
    <col min="14345" max="14345" width="10.28515625" style="350" customWidth="1"/>
    <col min="14346" max="14347" width="0" style="350" hidden="1" customWidth="1"/>
    <col min="14348" max="14348" width="1.85546875" style="350" customWidth="1"/>
    <col min="14349" max="14349" width="8.7109375" style="350" customWidth="1"/>
    <col min="14350" max="14350" width="8.5703125" style="350" customWidth="1"/>
    <col min="14351" max="14351" width="10.140625" style="350" customWidth="1"/>
    <col min="14352" max="14352" width="4.7109375" style="350" customWidth="1"/>
    <col min="14353" max="14353" width="27.28515625" style="350" customWidth="1"/>
    <col min="14354" max="14354" width="24.7109375" style="350" customWidth="1"/>
    <col min="14355" max="14355" width="25.140625" style="350" customWidth="1"/>
    <col min="14356" max="14356" width="17.7109375" style="350" customWidth="1"/>
    <col min="14357" max="14357" width="3.7109375" style="350" customWidth="1"/>
    <col min="14358" max="14358" width="24.5703125" style="350" customWidth="1"/>
    <col min="14359" max="14361" width="35.85546875" style="350" customWidth="1"/>
    <col min="14362" max="14592" width="11.42578125" style="350"/>
    <col min="14593" max="14593" width="2.140625" style="350" customWidth="1"/>
    <col min="14594" max="14594" width="6.85546875" style="350" customWidth="1"/>
    <col min="14595" max="14595" width="30.7109375" style="350" customWidth="1"/>
    <col min="14596" max="14596" width="7.28515625" style="350" customWidth="1"/>
    <col min="14597" max="14597" width="9.7109375" style="350" customWidth="1"/>
    <col min="14598" max="14598" width="11.7109375" style="350" customWidth="1"/>
    <col min="14599" max="14599" width="9.5703125" style="350" customWidth="1"/>
    <col min="14600" max="14600" width="11" style="350" customWidth="1"/>
    <col min="14601" max="14601" width="10.28515625" style="350" customWidth="1"/>
    <col min="14602" max="14603" width="0" style="350" hidden="1" customWidth="1"/>
    <col min="14604" max="14604" width="1.85546875" style="350" customWidth="1"/>
    <col min="14605" max="14605" width="8.7109375" style="350" customWidth="1"/>
    <col min="14606" max="14606" width="8.5703125" style="350" customWidth="1"/>
    <col min="14607" max="14607" width="10.140625" style="350" customWidth="1"/>
    <col min="14608" max="14608" width="4.7109375" style="350" customWidth="1"/>
    <col min="14609" max="14609" width="27.28515625" style="350" customWidth="1"/>
    <col min="14610" max="14610" width="24.7109375" style="350" customWidth="1"/>
    <col min="14611" max="14611" width="25.140625" style="350" customWidth="1"/>
    <col min="14612" max="14612" width="17.7109375" style="350" customWidth="1"/>
    <col min="14613" max="14613" width="3.7109375" style="350" customWidth="1"/>
    <col min="14614" max="14614" width="24.5703125" style="350" customWidth="1"/>
    <col min="14615" max="14617" width="35.85546875" style="350" customWidth="1"/>
    <col min="14618" max="14848" width="11.42578125" style="350"/>
    <col min="14849" max="14849" width="2.140625" style="350" customWidth="1"/>
    <col min="14850" max="14850" width="6.85546875" style="350" customWidth="1"/>
    <col min="14851" max="14851" width="30.7109375" style="350" customWidth="1"/>
    <col min="14852" max="14852" width="7.28515625" style="350" customWidth="1"/>
    <col min="14853" max="14853" width="9.7109375" style="350" customWidth="1"/>
    <col min="14854" max="14854" width="11.7109375" style="350" customWidth="1"/>
    <col min="14855" max="14855" width="9.5703125" style="350" customWidth="1"/>
    <col min="14856" max="14856" width="11" style="350" customWidth="1"/>
    <col min="14857" max="14857" width="10.28515625" style="350" customWidth="1"/>
    <col min="14858" max="14859" width="0" style="350" hidden="1" customWidth="1"/>
    <col min="14860" max="14860" width="1.85546875" style="350" customWidth="1"/>
    <col min="14861" max="14861" width="8.7109375" style="350" customWidth="1"/>
    <col min="14862" max="14862" width="8.5703125" style="350" customWidth="1"/>
    <col min="14863" max="14863" width="10.140625" style="350" customWidth="1"/>
    <col min="14864" max="14864" width="4.7109375" style="350" customWidth="1"/>
    <col min="14865" max="14865" width="27.28515625" style="350" customWidth="1"/>
    <col min="14866" max="14866" width="24.7109375" style="350" customWidth="1"/>
    <col min="14867" max="14867" width="25.140625" style="350" customWidth="1"/>
    <col min="14868" max="14868" width="17.7109375" style="350" customWidth="1"/>
    <col min="14869" max="14869" width="3.7109375" style="350" customWidth="1"/>
    <col min="14870" max="14870" width="24.5703125" style="350" customWidth="1"/>
    <col min="14871" max="14873" width="35.85546875" style="350" customWidth="1"/>
    <col min="14874" max="15104" width="11.42578125" style="350"/>
    <col min="15105" max="15105" width="2.140625" style="350" customWidth="1"/>
    <col min="15106" max="15106" width="6.85546875" style="350" customWidth="1"/>
    <col min="15107" max="15107" width="30.7109375" style="350" customWidth="1"/>
    <col min="15108" max="15108" width="7.28515625" style="350" customWidth="1"/>
    <col min="15109" max="15109" width="9.7109375" style="350" customWidth="1"/>
    <col min="15110" max="15110" width="11.7109375" style="350" customWidth="1"/>
    <col min="15111" max="15111" width="9.5703125" style="350" customWidth="1"/>
    <col min="15112" max="15112" width="11" style="350" customWidth="1"/>
    <col min="15113" max="15113" width="10.28515625" style="350" customWidth="1"/>
    <col min="15114" max="15115" width="0" style="350" hidden="1" customWidth="1"/>
    <col min="15116" max="15116" width="1.85546875" style="350" customWidth="1"/>
    <col min="15117" max="15117" width="8.7109375" style="350" customWidth="1"/>
    <col min="15118" max="15118" width="8.5703125" style="350" customWidth="1"/>
    <col min="15119" max="15119" width="10.140625" style="350" customWidth="1"/>
    <col min="15120" max="15120" width="4.7109375" style="350" customWidth="1"/>
    <col min="15121" max="15121" width="27.28515625" style="350" customWidth="1"/>
    <col min="15122" max="15122" width="24.7109375" style="350" customWidth="1"/>
    <col min="15123" max="15123" width="25.140625" style="350" customWidth="1"/>
    <col min="15124" max="15124" width="17.7109375" style="350" customWidth="1"/>
    <col min="15125" max="15125" width="3.7109375" style="350" customWidth="1"/>
    <col min="15126" max="15126" width="24.5703125" style="350" customWidth="1"/>
    <col min="15127" max="15129" width="35.85546875" style="350" customWidth="1"/>
    <col min="15130" max="15360" width="11.42578125" style="350"/>
    <col min="15361" max="15361" width="2.140625" style="350" customWidth="1"/>
    <col min="15362" max="15362" width="6.85546875" style="350" customWidth="1"/>
    <col min="15363" max="15363" width="30.7109375" style="350" customWidth="1"/>
    <col min="15364" max="15364" width="7.28515625" style="350" customWidth="1"/>
    <col min="15365" max="15365" width="9.7109375" style="350" customWidth="1"/>
    <col min="15366" max="15366" width="11.7109375" style="350" customWidth="1"/>
    <col min="15367" max="15367" width="9.5703125" style="350" customWidth="1"/>
    <col min="15368" max="15368" width="11" style="350" customWidth="1"/>
    <col min="15369" max="15369" width="10.28515625" style="350" customWidth="1"/>
    <col min="15370" max="15371" width="0" style="350" hidden="1" customWidth="1"/>
    <col min="15372" max="15372" width="1.85546875" style="350" customWidth="1"/>
    <col min="15373" max="15373" width="8.7109375" style="350" customWidth="1"/>
    <col min="15374" max="15374" width="8.5703125" style="350" customWidth="1"/>
    <col min="15375" max="15375" width="10.140625" style="350" customWidth="1"/>
    <col min="15376" max="15376" width="4.7109375" style="350" customWidth="1"/>
    <col min="15377" max="15377" width="27.28515625" style="350" customWidth="1"/>
    <col min="15378" max="15378" width="24.7109375" style="350" customWidth="1"/>
    <col min="15379" max="15379" width="25.140625" style="350" customWidth="1"/>
    <col min="15380" max="15380" width="17.7109375" style="350" customWidth="1"/>
    <col min="15381" max="15381" width="3.7109375" style="350" customWidth="1"/>
    <col min="15382" max="15382" width="24.5703125" style="350" customWidth="1"/>
    <col min="15383" max="15385" width="35.85546875" style="350" customWidth="1"/>
    <col min="15386" max="15616" width="11.42578125" style="350"/>
    <col min="15617" max="15617" width="2.140625" style="350" customWidth="1"/>
    <col min="15618" max="15618" width="6.85546875" style="350" customWidth="1"/>
    <col min="15619" max="15619" width="30.7109375" style="350" customWidth="1"/>
    <col min="15620" max="15620" width="7.28515625" style="350" customWidth="1"/>
    <col min="15621" max="15621" width="9.7109375" style="350" customWidth="1"/>
    <col min="15622" max="15622" width="11.7109375" style="350" customWidth="1"/>
    <col min="15623" max="15623" width="9.5703125" style="350" customWidth="1"/>
    <col min="15624" max="15624" width="11" style="350" customWidth="1"/>
    <col min="15625" max="15625" width="10.28515625" style="350" customWidth="1"/>
    <col min="15626" max="15627" width="0" style="350" hidden="1" customWidth="1"/>
    <col min="15628" max="15628" width="1.85546875" style="350" customWidth="1"/>
    <col min="15629" max="15629" width="8.7109375" style="350" customWidth="1"/>
    <col min="15630" max="15630" width="8.5703125" style="350" customWidth="1"/>
    <col min="15631" max="15631" width="10.140625" style="350" customWidth="1"/>
    <col min="15632" max="15632" width="4.7109375" style="350" customWidth="1"/>
    <col min="15633" max="15633" width="27.28515625" style="350" customWidth="1"/>
    <col min="15634" max="15634" width="24.7109375" style="350" customWidth="1"/>
    <col min="15635" max="15635" width="25.140625" style="350" customWidth="1"/>
    <col min="15636" max="15636" width="17.7109375" style="350" customWidth="1"/>
    <col min="15637" max="15637" width="3.7109375" style="350" customWidth="1"/>
    <col min="15638" max="15638" width="24.5703125" style="350" customWidth="1"/>
    <col min="15639" max="15641" width="35.85546875" style="350" customWidth="1"/>
    <col min="15642" max="15872" width="11.42578125" style="350"/>
    <col min="15873" max="15873" width="2.140625" style="350" customWidth="1"/>
    <col min="15874" max="15874" width="6.85546875" style="350" customWidth="1"/>
    <col min="15875" max="15875" width="30.7109375" style="350" customWidth="1"/>
    <col min="15876" max="15876" width="7.28515625" style="350" customWidth="1"/>
    <col min="15877" max="15877" width="9.7109375" style="350" customWidth="1"/>
    <col min="15878" max="15878" width="11.7109375" style="350" customWidth="1"/>
    <col min="15879" max="15879" width="9.5703125" style="350" customWidth="1"/>
    <col min="15880" max="15880" width="11" style="350" customWidth="1"/>
    <col min="15881" max="15881" width="10.28515625" style="350" customWidth="1"/>
    <col min="15882" max="15883" width="0" style="350" hidden="1" customWidth="1"/>
    <col min="15884" max="15884" width="1.85546875" style="350" customWidth="1"/>
    <col min="15885" max="15885" width="8.7109375" style="350" customWidth="1"/>
    <col min="15886" max="15886" width="8.5703125" style="350" customWidth="1"/>
    <col min="15887" max="15887" width="10.140625" style="350" customWidth="1"/>
    <col min="15888" max="15888" width="4.7109375" style="350" customWidth="1"/>
    <col min="15889" max="15889" width="27.28515625" style="350" customWidth="1"/>
    <col min="15890" max="15890" width="24.7109375" style="350" customWidth="1"/>
    <col min="15891" max="15891" width="25.140625" style="350" customWidth="1"/>
    <col min="15892" max="15892" width="17.7109375" style="350" customWidth="1"/>
    <col min="15893" max="15893" width="3.7109375" style="350" customWidth="1"/>
    <col min="15894" max="15894" width="24.5703125" style="350" customWidth="1"/>
    <col min="15895" max="15897" width="35.85546875" style="350" customWidth="1"/>
    <col min="15898" max="16128" width="11.42578125" style="350"/>
    <col min="16129" max="16129" width="2.140625" style="350" customWidth="1"/>
    <col min="16130" max="16130" width="6.85546875" style="350" customWidth="1"/>
    <col min="16131" max="16131" width="30.7109375" style="350" customWidth="1"/>
    <col min="16132" max="16132" width="7.28515625" style="350" customWidth="1"/>
    <col min="16133" max="16133" width="9.7109375" style="350" customWidth="1"/>
    <col min="16134" max="16134" width="11.7109375" style="350" customWidth="1"/>
    <col min="16135" max="16135" width="9.5703125" style="350" customWidth="1"/>
    <col min="16136" max="16136" width="11" style="350" customWidth="1"/>
    <col min="16137" max="16137" width="10.28515625" style="350" customWidth="1"/>
    <col min="16138" max="16139" width="0" style="350" hidden="1" customWidth="1"/>
    <col min="16140" max="16140" width="1.85546875" style="350" customWidth="1"/>
    <col min="16141" max="16141" width="8.7109375" style="350" customWidth="1"/>
    <col min="16142" max="16142" width="8.5703125" style="350" customWidth="1"/>
    <col min="16143" max="16143" width="10.140625" style="350" customWidth="1"/>
    <col min="16144" max="16144" width="4.7109375" style="350" customWidth="1"/>
    <col min="16145" max="16145" width="27.28515625" style="350" customWidth="1"/>
    <col min="16146" max="16146" width="24.7109375" style="350" customWidth="1"/>
    <col min="16147" max="16147" width="25.140625" style="350" customWidth="1"/>
    <col min="16148" max="16148" width="17.7109375" style="350" customWidth="1"/>
    <col min="16149" max="16149" width="3.7109375" style="350" customWidth="1"/>
    <col min="16150" max="16150" width="24.5703125" style="350" customWidth="1"/>
    <col min="16151" max="16153" width="35.85546875" style="350" customWidth="1"/>
    <col min="16154" max="16384" width="11.42578125" style="350"/>
  </cols>
  <sheetData>
    <row r="1" spans="1:26" ht="19.5" customHeight="1">
      <c r="A1" s="348"/>
      <c r="B1" s="349"/>
      <c r="C1" s="349"/>
      <c r="D1" s="349"/>
      <c r="E1" s="349"/>
      <c r="F1" s="349"/>
      <c r="G1" s="349"/>
      <c r="H1" s="349"/>
      <c r="I1" s="349"/>
      <c r="J1" s="349"/>
      <c r="K1" s="349"/>
      <c r="L1" s="349"/>
      <c r="M1" s="349"/>
      <c r="N1" s="349"/>
      <c r="O1" s="349"/>
      <c r="P1" s="349"/>
      <c r="Q1" s="349"/>
      <c r="R1" s="349"/>
      <c r="S1" s="349"/>
      <c r="T1" s="349"/>
    </row>
    <row r="2" spans="1:26" ht="36.75" customHeight="1">
      <c r="A2" s="351">
        <v>0</v>
      </c>
      <c r="B2" s="3397" t="s">
        <v>477</v>
      </c>
      <c r="C2" s="3398"/>
      <c r="D2" s="3398"/>
      <c r="E2" s="3398"/>
      <c r="F2" s="3398"/>
      <c r="G2" s="3398"/>
      <c r="H2" s="3398"/>
      <c r="I2" s="3398"/>
      <c r="J2" s="3398"/>
      <c r="K2" s="3398"/>
      <c r="L2" s="3398"/>
      <c r="M2" s="3398"/>
      <c r="N2" s="3399" t="s">
        <v>478</v>
      </c>
      <c r="O2" s="3400"/>
      <c r="P2" s="3401" t="str">
        <f>B2</f>
        <v>NOM DE LA RECETTE OU DU PLAT</v>
      </c>
      <c r="Q2" s="3401"/>
      <c r="R2" s="3401"/>
      <c r="S2" s="3401"/>
      <c r="T2" s="352" t="str">
        <f>N2</f>
        <v>ENTRÉES</v>
      </c>
      <c r="V2" s="3403" t="s">
        <v>479</v>
      </c>
      <c r="W2" s="353"/>
      <c r="X2" s="353"/>
      <c r="Y2" s="353"/>
      <c r="Z2" s="354">
        <v>36.75</v>
      </c>
    </row>
    <row r="3" spans="1:26" ht="26.25" customHeight="1">
      <c r="A3" s="351">
        <v>0</v>
      </c>
      <c r="B3" s="355" t="s">
        <v>480</v>
      </c>
      <c r="C3" s="3404" t="s">
        <v>481</v>
      </c>
      <c r="D3" s="3404"/>
      <c r="E3" s="3404"/>
      <c r="F3" s="3404"/>
      <c r="G3" s="3404"/>
      <c r="H3" s="3404"/>
      <c r="I3" s="3404"/>
      <c r="J3" s="3404"/>
      <c r="K3" s="3404"/>
      <c r="L3" s="3404"/>
      <c r="M3" s="3404"/>
      <c r="N3" s="3405" t="s">
        <v>482</v>
      </c>
      <c r="O3" s="3406"/>
      <c r="P3" s="3402"/>
      <c r="Q3" s="3402"/>
      <c r="R3" s="3402"/>
      <c r="S3" s="3402"/>
      <c r="T3" s="356" t="str">
        <f>N3</f>
        <v>Agrumes  Pomme Pample.)</v>
      </c>
      <c r="V3" s="3403"/>
      <c r="W3" s="353"/>
      <c r="X3" s="353"/>
      <c r="Y3" s="353"/>
      <c r="Z3" s="357">
        <v>26.25</v>
      </c>
    </row>
    <row r="4" spans="1:26" ht="32.25" customHeight="1">
      <c r="A4" s="351">
        <v>0</v>
      </c>
      <c r="B4" s="358" t="s">
        <v>483</v>
      </c>
      <c r="C4" s="359"/>
      <c r="D4" s="360"/>
      <c r="E4" s="361" t="s">
        <v>484</v>
      </c>
      <c r="F4" s="362">
        <v>8</v>
      </c>
      <c r="G4" s="3407" t="s">
        <v>485</v>
      </c>
      <c r="H4" s="3407"/>
      <c r="I4" s="3408">
        <v>20</v>
      </c>
      <c r="J4" s="363">
        <v>0</v>
      </c>
      <c r="K4" s="363">
        <v>0</v>
      </c>
      <c r="L4" s="364">
        <v>0</v>
      </c>
      <c r="M4" s="3409" t="s">
        <v>486</v>
      </c>
      <c r="N4" s="3409"/>
      <c r="O4" s="3409"/>
      <c r="P4" s="3410" t="s">
        <v>487</v>
      </c>
      <c r="Q4" s="3410"/>
      <c r="R4" s="3411">
        <f>I4</f>
        <v>20</v>
      </c>
      <c r="S4" s="3412" t="str">
        <f>F5</f>
        <v>couverts</v>
      </c>
      <c r="T4" s="3412"/>
      <c r="V4" s="3403"/>
      <c r="W4" s="353"/>
      <c r="X4" s="353"/>
      <c r="Y4" s="353"/>
      <c r="Z4" s="357">
        <v>32.25</v>
      </c>
    </row>
    <row r="5" spans="1:26" ht="24" customHeight="1">
      <c r="A5" s="351">
        <v>0</v>
      </c>
      <c r="B5" s="365" t="s">
        <v>488</v>
      </c>
      <c r="C5" s="366"/>
      <c r="D5" s="367"/>
      <c r="E5" s="368" t="s">
        <v>489</v>
      </c>
      <c r="F5" s="369" t="s">
        <v>223</v>
      </c>
      <c r="G5" s="370"/>
      <c r="H5" s="371"/>
      <c r="I5" s="3408"/>
      <c r="J5" s="363">
        <v>0</v>
      </c>
      <c r="K5" s="363">
        <v>0</v>
      </c>
      <c r="L5" s="364">
        <v>0</v>
      </c>
      <c r="M5" s="3413">
        <f ca="1">NOW()</f>
        <v>43100.797994907407</v>
      </c>
      <c r="N5" s="3413"/>
      <c r="O5" s="3413"/>
      <c r="P5" s="3410"/>
      <c r="Q5" s="3410"/>
      <c r="R5" s="3411"/>
      <c r="S5" s="3412"/>
      <c r="T5" s="3412"/>
      <c r="V5" s="3403"/>
      <c r="W5" s="353"/>
      <c r="X5" s="353"/>
      <c r="Y5" s="353"/>
      <c r="Z5" s="357">
        <v>24</v>
      </c>
    </row>
    <row r="6" spans="1:26" ht="36.75" customHeight="1">
      <c r="A6" s="351">
        <v>0</v>
      </c>
      <c r="B6" s="3414" t="str">
        <f ca="1">MID(CELL("filename",B6),FIND("[",CELL("filename",B6)),300)</f>
        <v>[re-boudins-blancs.xlsx]D1- 75 lignes avec ORT</v>
      </c>
      <c r="C6" s="3414"/>
      <c r="D6" s="372" t="s">
        <v>490</v>
      </c>
      <c r="E6" s="373" t="s">
        <v>491</v>
      </c>
      <c r="F6" s="374" t="s">
        <v>492</v>
      </c>
      <c r="G6" s="375" t="s">
        <v>493</v>
      </c>
      <c r="H6" s="376" t="s">
        <v>494</v>
      </c>
      <c r="I6" s="376" t="s">
        <v>495</v>
      </c>
      <c r="J6" s="3415" t="s">
        <v>496</v>
      </c>
      <c r="K6" s="3415"/>
      <c r="L6" s="364">
        <v>0</v>
      </c>
      <c r="M6" s="377" t="s">
        <v>473</v>
      </c>
      <c r="N6" s="376" t="s">
        <v>497</v>
      </c>
      <c r="O6" s="378" t="s">
        <v>498</v>
      </c>
      <c r="P6" s="3410"/>
      <c r="Q6" s="3410"/>
      <c r="R6" s="3411"/>
      <c r="S6" s="3412"/>
      <c r="T6" s="3412"/>
      <c r="V6" s="3403"/>
      <c r="W6" s="3396" t="s">
        <v>499</v>
      </c>
      <c r="X6" s="3396"/>
      <c r="Y6" s="3396"/>
      <c r="Z6" s="357">
        <v>36.75</v>
      </c>
    </row>
    <row r="7" spans="1:26" ht="21" customHeight="1">
      <c r="A7" s="351">
        <v>0</v>
      </c>
      <c r="B7" s="379" t="s">
        <v>21</v>
      </c>
      <c r="C7" s="380" t="s">
        <v>500</v>
      </c>
      <c r="D7" s="381">
        <f>SUM(D8:D83)</f>
        <v>1.1499999999999999</v>
      </c>
      <c r="E7" s="382">
        <v>0</v>
      </c>
      <c r="F7" s="383">
        <f>IF(M7=0,0,(M7-I7)/M7*100)</f>
        <v>13.793103448275859</v>
      </c>
      <c r="G7" s="384">
        <f>IF(SUM(G8:G83)=0,1,SUM(G8:G83))</f>
        <v>0.97</v>
      </c>
      <c r="H7" s="385">
        <f>SUM(H8:H83)</f>
        <v>2.4249999999999998</v>
      </c>
      <c r="I7" s="385">
        <f>SUM(I8:I83)</f>
        <v>2.5</v>
      </c>
      <c r="J7" s="386">
        <f>F4</f>
        <v>8</v>
      </c>
      <c r="K7" s="386">
        <f>I4</f>
        <v>20</v>
      </c>
      <c r="L7" s="364">
        <v>0</v>
      </c>
      <c r="M7" s="387">
        <f>SUM(M8:M83)</f>
        <v>2.9</v>
      </c>
      <c r="N7" s="388">
        <f>O7/I4</f>
        <v>0.14499999999999999</v>
      </c>
      <c r="O7" s="389">
        <f>SUM(O8:O83)</f>
        <v>2.9</v>
      </c>
      <c r="P7" s="390">
        <v>0</v>
      </c>
      <c r="Q7" s="3394" t="s">
        <v>501</v>
      </c>
      <c r="R7" s="3394"/>
      <c r="S7" s="3394"/>
      <c r="T7" s="3394"/>
      <c r="V7" s="3403"/>
      <c r="W7" s="391" t="s">
        <v>502</v>
      </c>
      <c r="X7" s="391" t="s">
        <v>503</v>
      </c>
      <c r="Y7" s="391" t="s">
        <v>504</v>
      </c>
      <c r="Z7" s="357">
        <v>21</v>
      </c>
    </row>
    <row r="8" spans="1:26" ht="17.25" customHeight="1">
      <c r="A8" s="351">
        <v>1</v>
      </c>
      <c r="B8" s="392">
        <f>IF(I7=0,0,I8/I7)</f>
        <v>0</v>
      </c>
      <c r="C8" s="393">
        <v>0</v>
      </c>
      <c r="D8" s="394">
        <v>0</v>
      </c>
      <c r="E8" s="395">
        <v>0</v>
      </c>
      <c r="F8" s="396">
        <v>0</v>
      </c>
      <c r="G8" s="397">
        <f t="shared" ref="G8:G71" si="0">D8-(D8*F8%)</f>
        <v>0</v>
      </c>
      <c r="H8" s="398">
        <f t="shared" ref="H8:H71" si="1">IF(G8=0,0,(G8/J8)*K8)</f>
        <v>0</v>
      </c>
      <c r="I8" s="399">
        <f t="shared" ref="I8:I71" si="2">ROUNDUP(H8,1)</f>
        <v>0</v>
      </c>
      <c r="J8" s="400">
        <f>J7</f>
        <v>8</v>
      </c>
      <c r="K8" s="400">
        <f>K7</f>
        <v>20</v>
      </c>
      <c r="L8" s="401">
        <v>0</v>
      </c>
      <c r="M8" s="402">
        <f t="shared" ref="M8:M71" si="3">ROUNDUP(IF(H8=0,0,H8/(100-F8)*100),1)</f>
        <v>0</v>
      </c>
      <c r="N8" s="403">
        <v>1</v>
      </c>
      <c r="O8" s="404">
        <f t="shared" ref="O8:O71" si="4">N8*M8</f>
        <v>0</v>
      </c>
      <c r="P8" s="405">
        <v>1</v>
      </c>
      <c r="Q8" s="406">
        <v>0</v>
      </c>
      <c r="R8" s="406"/>
      <c r="S8" s="406"/>
      <c r="T8" s="407"/>
      <c r="V8" s="3403"/>
      <c r="W8" s="3395" t="s">
        <v>505</v>
      </c>
      <c r="X8" s="3395"/>
      <c r="Y8" s="3395"/>
      <c r="Z8" s="357">
        <v>17.25</v>
      </c>
    </row>
    <row r="9" spans="1:26" ht="17.25" customHeight="1">
      <c r="A9" s="351">
        <v>2</v>
      </c>
      <c r="B9" s="392">
        <f>IF(I7=0,0,I9/I7)</f>
        <v>0.88000000000000012</v>
      </c>
      <c r="C9" s="393" t="s">
        <v>506</v>
      </c>
      <c r="D9" s="394">
        <v>1</v>
      </c>
      <c r="E9" s="395" t="s">
        <v>507</v>
      </c>
      <c r="F9" s="396">
        <v>15</v>
      </c>
      <c r="G9" s="397">
        <f t="shared" si="0"/>
        <v>0.85</v>
      </c>
      <c r="H9" s="398">
        <f t="shared" si="1"/>
        <v>2.125</v>
      </c>
      <c r="I9" s="399">
        <f t="shared" si="2"/>
        <v>2.2000000000000002</v>
      </c>
      <c r="J9" s="400">
        <f>J7</f>
        <v>8</v>
      </c>
      <c r="K9" s="408">
        <f>K7</f>
        <v>20</v>
      </c>
      <c r="L9" s="409">
        <v>0</v>
      </c>
      <c r="M9" s="410">
        <f t="shared" si="3"/>
        <v>2.5</v>
      </c>
      <c r="N9" s="403">
        <v>1</v>
      </c>
      <c r="O9" s="404">
        <f t="shared" si="4"/>
        <v>2.5</v>
      </c>
      <c r="P9" s="411">
        <v>2</v>
      </c>
      <c r="Q9" s="406">
        <v>0</v>
      </c>
      <c r="R9" s="406"/>
      <c r="S9" s="406"/>
      <c r="T9" s="407"/>
      <c r="V9" s="412" t="s">
        <v>508</v>
      </c>
      <c r="W9" s="413" t="str">
        <f t="shared" ref="W9:Y40" si="5">IF(LEN(Q9)&gt;255," STOP 255 caractères maxi "&amp;(LEN(Q9)-255)&amp;" caractères de trop.","")</f>
        <v/>
      </c>
      <c r="X9" s="413" t="str">
        <f t="shared" si="5"/>
        <v/>
      </c>
      <c r="Y9" s="413" t="str">
        <f t="shared" si="5"/>
        <v/>
      </c>
      <c r="Z9" s="357">
        <v>17.25</v>
      </c>
    </row>
    <row r="10" spans="1:26" ht="17.25" customHeight="1">
      <c r="A10" s="351">
        <v>3</v>
      </c>
      <c r="B10" s="392">
        <f>IF(I7=0,0,I10/I7)</f>
        <v>0.12</v>
      </c>
      <c r="C10" s="393" t="s">
        <v>509</v>
      </c>
      <c r="D10" s="394">
        <v>0.15</v>
      </c>
      <c r="E10" s="395" t="s">
        <v>507</v>
      </c>
      <c r="F10" s="396">
        <v>20</v>
      </c>
      <c r="G10" s="397">
        <f t="shared" si="0"/>
        <v>0.12</v>
      </c>
      <c r="H10" s="398">
        <f t="shared" si="1"/>
        <v>0.3</v>
      </c>
      <c r="I10" s="399">
        <f t="shared" si="2"/>
        <v>0.3</v>
      </c>
      <c r="J10" s="400">
        <f>J7</f>
        <v>8</v>
      </c>
      <c r="K10" s="408">
        <f>K7</f>
        <v>20</v>
      </c>
      <c r="L10" s="409">
        <v>0</v>
      </c>
      <c r="M10" s="410">
        <f t="shared" si="3"/>
        <v>0.4</v>
      </c>
      <c r="N10" s="403">
        <v>1</v>
      </c>
      <c r="O10" s="404">
        <f t="shared" si="4"/>
        <v>0.4</v>
      </c>
      <c r="P10" s="411">
        <v>3</v>
      </c>
      <c r="Q10" s="406">
        <v>0</v>
      </c>
      <c r="R10" s="406"/>
      <c r="S10" s="406"/>
      <c r="T10" s="407"/>
      <c r="V10" s="412" t="s">
        <v>508</v>
      </c>
      <c r="W10" s="413" t="str">
        <f t="shared" si="5"/>
        <v/>
      </c>
      <c r="X10" s="413" t="str">
        <f t="shared" si="5"/>
        <v/>
      </c>
      <c r="Y10" s="413" t="str">
        <f t="shared" si="5"/>
        <v/>
      </c>
      <c r="Z10" s="357">
        <v>17.25</v>
      </c>
    </row>
    <row r="11" spans="1:26" ht="17.25" customHeight="1">
      <c r="A11" s="351">
        <v>4</v>
      </c>
      <c r="B11" s="392">
        <f>IF(I7=0,0,I11/I7)</f>
        <v>0</v>
      </c>
      <c r="C11" s="393">
        <v>0</v>
      </c>
      <c r="D11" s="394">
        <v>0</v>
      </c>
      <c r="E11" s="395">
        <v>0</v>
      </c>
      <c r="F11" s="396">
        <v>0</v>
      </c>
      <c r="G11" s="397">
        <f t="shared" si="0"/>
        <v>0</v>
      </c>
      <c r="H11" s="398">
        <f t="shared" si="1"/>
        <v>0</v>
      </c>
      <c r="I11" s="399">
        <f t="shared" si="2"/>
        <v>0</v>
      </c>
      <c r="J11" s="400">
        <f>J7</f>
        <v>8</v>
      </c>
      <c r="K11" s="408">
        <f>K7</f>
        <v>20</v>
      </c>
      <c r="L11" s="409">
        <v>0</v>
      </c>
      <c r="M11" s="410">
        <f t="shared" si="3"/>
        <v>0</v>
      </c>
      <c r="N11" s="403">
        <v>1</v>
      </c>
      <c r="O11" s="404">
        <f t="shared" si="4"/>
        <v>0</v>
      </c>
      <c r="P11" s="411">
        <v>4</v>
      </c>
      <c r="Q11" s="406">
        <v>0</v>
      </c>
      <c r="R11" s="406"/>
      <c r="S11" s="406"/>
      <c r="T11" s="407"/>
      <c r="V11" s="412" t="s">
        <v>508</v>
      </c>
      <c r="W11" s="413" t="str">
        <f t="shared" si="5"/>
        <v/>
      </c>
      <c r="X11" s="413" t="str">
        <f t="shared" si="5"/>
        <v/>
      </c>
      <c r="Y11" s="413" t="str">
        <f t="shared" si="5"/>
        <v/>
      </c>
      <c r="Z11" s="357">
        <v>17.25</v>
      </c>
    </row>
    <row r="12" spans="1:26" ht="17.25" customHeight="1">
      <c r="A12" s="351">
        <v>5</v>
      </c>
      <c r="B12" s="392">
        <f>IF(I7=0,0,I12/I7)</f>
        <v>0</v>
      </c>
      <c r="C12" s="393">
        <v>0</v>
      </c>
      <c r="D12" s="394">
        <v>0</v>
      </c>
      <c r="E12" s="395">
        <v>0</v>
      </c>
      <c r="F12" s="396">
        <v>0</v>
      </c>
      <c r="G12" s="397">
        <f t="shared" si="0"/>
        <v>0</v>
      </c>
      <c r="H12" s="398">
        <f t="shared" si="1"/>
        <v>0</v>
      </c>
      <c r="I12" s="399">
        <f t="shared" si="2"/>
        <v>0</v>
      </c>
      <c r="J12" s="400">
        <f>J7</f>
        <v>8</v>
      </c>
      <c r="K12" s="408">
        <f>K7</f>
        <v>20</v>
      </c>
      <c r="L12" s="409">
        <v>0</v>
      </c>
      <c r="M12" s="410">
        <f t="shared" si="3"/>
        <v>0</v>
      </c>
      <c r="N12" s="403">
        <v>1</v>
      </c>
      <c r="O12" s="404">
        <f t="shared" si="4"/>
        <v>0</v>
      </c>
      <c r="P12" s="411">
        <v>5</v>
      </c>
      <c r="Q12" s="406">
        <v>0</v>
      </c>
      <c r="R12" s="406"/>
      <c r="S12" s="406"/>
      <c r="T12" s="407"/>
      <c r="V12" s="412" t="s">
        <v>508</v>
      </c>
      <c r="W12" s="413" t="str">
        <f t="shared" si="5"/>
        <v/>
      </c>
      <c r="X12" s="413" t="str">
        <f t="shared" si="5"/>
        <v/>
      </c>
      <c r="Y12" s="413" t="str">
        <f t="shared" si="5"/>
        <v/>
      </c>
      <c r="Z12" s="357">
        <v>17.25</v>
      </c>
    </row>
    <row r="13" spans="1:26" ht="17.25" customHeight="1">
      <c r="A13" s="351">
        <v>6</v>
      </c>
      <c r="B13" s="392">
        <f>IF(I7=0,0,I13/I7)</f>
        <v>0</v>
      </c>
      <c r="C13" s="393">
        <v>0</v>
      </c>
      <c r="D13" s="394">
        <v>0</v>
      </c>
      <c r="E13" s="395">
        <v>0</v>
      </c>
      <c r="F13" s="396">
        <v>0</v>
      </c>
      <c r="G13" s="397">
        <f t="shared" si="0"/>
        <v>0</v>
      </c>
      <c r="H13" s="398">
        <f t="shared" si="1"/>
        <v>0</v>
      </c>
      <c r="I13" s="399">
        <f t="shared" si="2"/>
        <v>0</v>
      </c>
      <c r="J13" s="400">
        <f>J7</f>
        <v>8</v>
      </c>
      <c r="K13" s="408">
        <f>K7</f>
        <v>20</v>
      </c>
      <c r="L13" s="409">
        <v>0</v>
      </c>
      <c r="M13" s="410">
        <f t="shared" si="3"/>
        <v>0</v>
      </c>
      <c r="N13" s="403">
        <v>1</v>
      </c>
      <c r="O13" s="404">
        <f t="shared" si="4"/>
        <v>0</v>
      </c>
      <c r="P13" s="411">
        <v>6</v>
      </c>
      <c r="Q13" s="406">
        <v>0</v>
      </c>
      <c r="R13" s="406"/>
      <c r="S13" s="406"/>
      <c r="T13" s="407"/>
      <c r="V13" s="412" t="s">
        <v>508</v>
      </c>
      <c r="W13" s="413" t="str">
        <f t="shared" si="5"/>
        <v/>
      </c>
      <c r="X13" s="413" t="str">
        <f t="shared" si="5"/>
        <v/>
      </c>
      <c r="Y13" s="413" t="str">
        <f t="shared" si="5"/>
        <v/>
      </c>
      <c r="Z13" s="357">
        <v>17.25</v>
      </c>
    </row>
    <row r="14" spans="1:26" ht="17.25" customHeight="1">
      <c r="A14" s="351">
        <v>7</v>
      </c>
      <c r="B14" s="392">
        <f>IF(I7=0,0,I14/I7)</f>
        <v>0</v>
      </c>
      <c r="C14" s="393">
        <v>0</v>
      </c>
      <c r="D14" s="394">
        <v>0</v>
      </c>
      <c r="E14" s="395">
        <v>0</v>
      </c>
      <c r="F14" s="396">
        <v>0</v>
      </c>
      <c r="G14" s="397">
        <f t="shared" si="0"/>
        <v>0</v>
      </c>
      <c r="H14" s="398">
        <f t="shared" si="1"/>
        <v>0</v>
      </c>
      <c r="I14" s="399">
        <f t="shared" si="2"/>
        <v>0</v>
      </c>
      <c r="J14" s="400">
        <f>J7</f>
        <v>8</v>
      </c>
      <c r="K14" s="408">
        <f>K7</f>
        <v>20</v>
      </c>
      <c r="L14" s="409">
        <v>0</v>
      </c>
      <c r="M14" s="410">
        <f t="shared" si="3"/>
        <v>0</v>
      </c>
      <c r="N14" s="403">
        <v>1</v>
      </c>
      <c r="O14" s="404">
        <f t="shared" si="4"/>
        <v>0</v>
      </c>
      <c r="P14" s="411">
        <v>7</v>
      </c>
      <c r="Q14" s="406">
        <v>0</v>
      </c>
      <c r="R14" s="406"/>
      <c r="S14" s="406"/>
      <c r="T14" s="407"/>
      <c r="V14" s="412" t="s">
        <v>508</v>
      </c>
      <c r="W14" s="413" t="str">
        <f t="shared" si="5"/>
        <v/>
      </c>
      <c r="X14" s="413" t="str">
        <f t="shared" si="5"/>
        <v/>
      </c>
      <c r="Y14" s="413" t="str">
        <f t="shared" si="5"/>
        <v/>
      </c>
      <c r="Z14" s="357">
        <v>17.25</v>
      </c>
    </row>
    <row r="15" spans="1:26" ht="17.25" customHeight="1">
      <c r="A15" s="351">
        <v>8</v>
      </c>
      <c r="B15" s="392">
        <f>IF(I7=0,0,I15/I7)</f>
        <v>0</v>
      </c>
      <c r="C15" s="393">
        <v>0</v>
      </c>
      <c r="D15" s="394">
        <v>0</v>
      </c>
      <c r="E15" s="395">
        <v>0</v>
      </c>
      <c r="F15" s="396">
        <v>0</v>
      </c>
      <c r="G15" s="397">
        <f t="shared" si="0"/>
        <v>0</v>
      </c>
      <c r="H15" s="398">
        <f t="shared" si="1"/>
        <v>0</v>
      </c>
      <c r="I15" s="399">
        <f t="shared" si="2"/>
        <v>0</v>
      </c>
      <c r="J15" s="400">
        <f>J7</f>
        <v>8</v>
      </c>
      <c r="K15" s="408">
        <f>K7</f>
        <v>20</v>
      </c>
      <c r="L15" s="409">
        <v>0</v>
      </c>
      <c r="M15" s="410">
        <f t="shared" si="3"/>
        <v>0</v>
      </c>
      <c r="N15" s="403">
        <v>1</v>
      </c>
      <c r="O15" s="404">
        <f t="shared" si="4"/>
        <v>0</v>
      </c>
      <c r="P15" s="411">
        <v>8</v>
      </c>
      <c r="Q15" s="406">
        <v>0</v>
      </c>
      <c r="R15" s="406"/>
      <c r="S15" s="406"/>
      <c r="T15" s="407"/>
      <c r="V15" s="412" t="s">
        <v>508</v>
      </c>
      <c r="W15" s="413" t="str">
        <f t="shared" si="5"/>
        <v/>
      </c>
      <c r="X15" s="413" t="str">
        <f t="shared" si="5"/>
        <v/>
      </c>
      <c r="Y15" s="413" t="str">
        <f t="shared" si="5"/>
        <v/>
      </c>
      <c r="Z15" s="357">
        <v>17.25</v>
      </c>
    </row>
    <row r="16" spans="1:26" ht="17.25" customHeight="1">
      <c r="A16" s="351">
        <v>9</v>
      </c>
      <c r="B16" s="392">
        <f>IF(I7=0,0,I16/I7)</f>
        <v>0</v>
      </c>
      <c r="C16" s="393">
        <v>0</v>
      </c>
      <c r="D16" s="394">
        <v>0</v>
      </c>
      <c r="E16" s="395">
        <v>0</v>
      </c>
      <c r="F16" s="396">
        <v>0</v>
      </c>
      <c r="G16" s="397">
        <f t="shared" si="0"/>
        <v>0</v>
      </c>
      <c r="H16" s="398">
        <f t="shared" si="1"/>
        <v>0</v>
      </c>
      <c r="I16" s="399">
        <f t="shared" si="2"/>
        <v>0</v>
      </c>
      <c r="J16" s="400">
        <f>J7</f>
        <v>8</v>
      </c>
      <c r="K16" s="408">
        <f>K7</f>
        <v>20</v>
      </c>
      <c r="L16" s="409">
        <v>0</v>
      </c>
      <c r="M16" s="410">
        <f t="shared" si="3"/>
        <v>0</v>
      </c>
      <c r="N16" s="403">
        <v>1</v>
      </c>
      <c r="O16" s="404">
        <f t="shared" si="4"/>
        <v>0</v>
      </c>
      <c r="P16" s="411">
        <v>9</v>
      </c>
      <c r="Q16" s="406">
        <v>0</v>
      </c>
      <c r="R16" s="406"/>
      <c r="S16" s="406"/>
      <c r="T16" s="407"/>
      <c r="V16" s="412" t="s">
        <v>508</v>
      </c>
      <c r="W16" s="413" t="str">
        <f t="shared" si="5"/>
        <v/>
      </c>
      <c r="X16" s="413" t="str">
        <f t="shared" si="5"/>
        <v/>
      </c>
      <c r="Y16" s="413" t="str">
        <f t="shared" si="5"/>
        <v/>
      </c>
      <c r="Z16" s="357">
        <v>17.25</v>
      </c>
    </row>
    <row r="17" spans="1:26" ht="17.25" customHeight="1">
      <c r="A17" s="351">
        <v>10</v>
      </c>
      <c r="B17" s="392">
        <f>IF(I7=0,0,I17/I7)</f>
        <v>0</v>
      </c>
      <c r="C17" s="393">
        <v>0</v>
      </c>
      <c r="D17" s="394">
        <v>0</v>
      </c>
      <c r="E17" s="395">
        <v>0</v>
      </c>
      <c r="F17" s="396">
        <v>0</v>
      </c>
      <c r="G17" s="397">
        <f t="shared" si="0"/>
        <v>0</v>
      </c>
      <c r="H17" s="398">
        <f t="shared" si="1"/>
        <v>0</v>
      </c>
      <c r="I17" s="399">
        <f t="shared" si="2"/>
        <v>0</v>
      </c>
      <c r="J17" s="400">
        <f>J7</f>
        <v>8</v>
      </c>
      <c r="K17" s="408">
        <f>K7</f>
        <v>20</v>
      </c>
      <c r="L17" s="409">
        <v>0</v>
      </c>
      <c r="M17" s="410">
        <f t="shared" si="3"/>
        <v>0</v>
      </c>
      <c r="N17" s="403">
        <v>1</v>
      </c>
      <c r="O17" s="404">
        <f t="shared" si="4"/>
        <v>0</v>
      </c>
      <c r="P17" s="411">
        <v>10</v>
      </c>
      <c r="Q17" s="406">
        <v>0</v>
      </c>
      <c r="R17" s="406"/>
      <c r="S17" s="406"/>
      <c r="T17" s="407"/>
      <c r="V17" s="412" t="s">
        <v>508</v>
      </c>
      <c r="W17" s="413" t="str">
        <f t="shared" si="5"/>
        <v/>
      </c>
      <c r="X17" s="413" t="str">
        <f t="shared" si="5"/>
        <v/>
      </c>
      <c r="Y17" s="413" t="str">
        <f t="shared" si="5"/>
        <v/>
      </c>
      <c r="Z17" s="357">
        <v>17.25</v>
      </c>
    </row>
    <row r="18" spans="1:26" ht="17.25" customHeight="1">
      <c r="A18" s="351">
        <v>11</v>
      </c>
      <c r="B18" s="392">
        <f>IF(I7=0,0,I18/I7)</f>
        <v>0</v>
      </c>
      <c r="C18" s="393">
        <v>0</v>
      </c>
      <c r="D18" s="394">
        <v>0</v>
      </c>
      <c r="E18" s="395">
        <v>0</v>
      </c>
      <c r="F18" s="396">
        <v>0</v>
      </c>
      <c r="G18" s="397">
        <f t="shared" si="0"/>
        <v>0</v>
      </c>
      <c r="H18" s="398">
        <f t="shared" si="1"/>
        <v>0</v>
      </c>
      <c r="I18" s="399">
        <f t="shared" si="2"/>
        <v>0</v>
      </c>
      <c r="J18" s="400">
        <f>J7</f>
        <v>8</v>
      </c>
      <c r="K18" s="408">
        <f>K7</f>
        <v>20</v>
      </c>
      <c r="L18" s="409">
        <v>0</v>
      </c>
      <c r="M18" s="410">
        <f t="shared" si="3"/>
        <v>0</v>
      </c>
      <c r="N18" s="403">
        <v>1</v>
      </c>
      <c r="O18" s="404">
        <f t="shared" si="4"/>
        <v>0</v>
      </c>
      <c r="P18" s="411">
        <v>11</v>
      </c>
      <c r="Q18" s="406">
        <v>0</v>
      </c>
      <c r="R18" s="406"/>
      <c r="S18" s="406"/>
      <c r="T18" s="407"/>
      <c r="V18" s="412" t="s">
        <v>508</v>
      </c>
      <c r="W18" s="413" t="str">
        <f t="shared" si="5"/>
        <v/>
      </c>
      <c r="X18" s="413" t="str">
        <f t="shared" si="5"/>
        <v/>
      </c>
      <c r="Y18" s="413" t="str">
        <f t="shared" si="5"/>
        <v/>
      </c>
      <c r="Z18" s="357">
        <v>17.25</v>
      </c>
    </row>
    <row r="19" spans="1:26" ht="17.25" customHeight="1">
      <c r="A19" s="351">
        <v>12</v>
      </c>
      <c r="B19" s="392">
        <f>IF(I7=0,0,I19/I7)</f>
        <v>0</v>
      </c>
      <c r="C19" s="393">
        <v>0</v>
      </c>
      <c r="D19" s="394">
        <v>0</v>
      </c>
      <c r="E19" s="395">
        <v>0</v>
      </c>
      <c r="F19" s="396">
        <v>0</v>
      </c>
      <c r="G19" s="397">
        <f t="shared" si="0"/>
        <v>0</v>
      </c>
      <c r="H19" s="398">
        <f t="shared" si="1"/>
        <v>0</v>
      </c>
      <c r="I19" s="399">
        <f t="shared" si="2"/>
        <v>0</v>
      </c>
      <c r="J19" s="400">
        <f>J7</f>
        <v>8</v>
      </c>
      <c r="K19" s="408">
        <f>K7</f>
        <v>20</v>
      </c>
      <c r="L19" s="409">
        <v>0</v>
      </c>
      <c r="M19" s="410">
        <f t="shared" si="3"/>
        <v>0</v>
      </c>
      <c r="N19" s="403">
        <v>1</v>
      </c>
      <c r="O19" s="404">
        <f t="shared" si="4"/>
        <v>0</v>
      </c>
      <c r="P19" s="411">
        <v>12</v>
      </c>
      <c r="Q19" s="406">
        <v>0</v>
      </c>
      <c r="R19" s="406"/>
      <c r="S19" s="406"/>
      <c r="T19" s="407"/>
      <c r="V19" s="412" t="s">
        <v>508</v>
      </c>
      <c r="W19" s="413" t="str">
        <f t="shared" si="5"/>
        <v/>
      </c>
      <c r="X19" s="413" t="str">
        <f t="shared" si="5"/>
        <v/>
      </c>
      <c r="Y19" s="413" t="str">
        <f t="shared" si="5"/>
        <v/>
      </c>
      <c r="Z19" s="357">
        <v>17.25</v>
      </c>
    </row>
    <row r="20" spans="1:26" ht="17.25" customHeight="1">
      <c r="A20" s="351">
        <v>13</v>
      </c>
      <c r="B20" s="392">
        <f>IF(I7=0,0,I20/I7)</f>
        <v>0</v>
      </c>
      <c r="C20" s="393">
        <v>0</v>
      </c>
      <c r="D20" s="394">
        <v>0</v>
      </c>
      <c r="E20" s="395">
        <v>0</v>
      </c>
      <c r="F20" s="396">
        <v>0</v>
      </c>
      <c r="G20" s="397">
        <f t="shared" si="0"/>
        <v>0</v>
      </c>
      <c r="H20" s="398">
        <f t="shared" si="1"/>
        <v>0</v>
      </c>
      <c r="I20" s="399">
        <f t="shared" si="2"/>
        <v>0</v>
      </c>
      <c r="J20" s="400">
        <f>J7</f>
        <v>8</v>
      </c>
      <c r="K20" s="408">
        <f>K7</f>
        <v>20</v>
      </c>
      <c r="L20" s="409">
        <v>0</v>
      </c>
      <c r="M20" s="410">
        <f t="shared" si="3"/>
        <v>0</v>
      </c>
      <c r="N20" s="403">
        <v>1</v>
      </c>
      <c r="O20" s="404">
        <f t="shared" si="4"/>
        <v>0</v>
      </c>
      <c r="P20" s="411">
        <v>13</v>
      </c>
      <c r="Q20" s="406">
        <v>0</v>
      </c>
      <c r="R20" s="406"/>
      <c r="S20" s="406"/>
      <c r="T20" s="407"/>
      <c r="V20" s="412" t="s">
        <v>508</v>
      </c>
      <c r="W20" s="413" t="str">
        <f t="shared" si="5"/>
        <v/>
      </c>
      <c r="X20" s="413" t="str">
        <f t="shared" si="5"/>
        <v/>
      </c>
      <c r="Y20" s="413" t="str">
        <f t="shared" si="5"/>
        <v/>
      </c>
      <c r="Z20" s="357">
        <v>17.25</v>
      </c>
    </row>
    <row r="21" spans="1:26" ht="17.25" customHeight="1">
      <c r="A21" s="351">
        <v>14</v>
      </c>
      <c r="B21" s="392">
        <f>IF(I7=0,0,I21/I7)</f>
        <v>0</v>
      </c>
      <c r="C21" s="393">
        <v>0</v>
      </c>
      <c r="D21" s="394">
        <v>0</v>
      </c>
      <c r="E21" s="395">
        <v>0</v>
      </c>
      <c r="F21" s="396">
        <v>0</v>
      </c>
      <c r="G21" s="397">
        <f t="shared" si="0"/>
        <v>0</v>
      </c>
      <c r="H21" s="398">
        <f t="shared" si="1"/>
        <v>0</v>
      </c>
      <c r="I21" s="399">
        <f t="shared" si="2"/>
        <v>0</v>
      </c>
      <c r="J21" s="400">
        <f>J7</f>
        <v>8</v>
      </c>
      <c r="K21" s="408">
        <f>K7</f>
        <v>20</v>
      </c>
      <c r="L21" s="409">
        <v>0</v>
      </c>
      <c r="M21" s="410">
        <f t="shared" si="3"/>
        <v>0</v>
      </c>
      <c r="N21" s="403">
        <v>1</v>
      </c>
      <c r="O21" s="404">
        <f t="shared" si="4"/>
        <v>0</v>
      </c>
      <c r="P21" s="411">
        <v>14</v>
      </c>
      <c r="Q21" s="406">
        <v>0</v>
      </c>
      <c r="R21" s="406"/>
      <c r="S21" s="406"/>
      <c r="T21" s="407"/>
      <c r="V21" s="412" t="s">
        <v>508</v>
      </c>
      <c r="W21" s="413" t="str">
        <f t="shared" si="5"/>
        <v/>
      </c>
      <c r="X21" s="413" t="str">
        <f t="shared" si="5"/>
        <v/>
      </c>
      <c r="Y21" s="413" t="str">
        <f t="shared" si="5"/>
        <v/>
      </c>
      <c r="Z21" s="357">
        <v>17.25</v>
      </c>
    </row>
    <row r="22" spans="1:26" ht="17.25" customHeight="1">
      <c r="A22" s="351">
        <v>15</v>
      </c>
      <c r="B22" s="392">
        <f>IF(I7=0,0,I22/I7)</f>
        <v>0</v>
      </c>
      <c r="C22" s="393">
        <v>0</v>
      </c>
      <c r="D22" s="394">
        <v>0</v>
      </c>
      <c r="E22" s="395">
        <v>0</v>
      </c>
      <c r="F22" s="396">
        <v>0</v>
      </c>
      <c r="G22" s="397">
        <f t="shared" si="0"/>
        <v>0</v>
      </c>
      <c r="H22" s="398">
        <f t="shared" si="1"/>
        <v>0</v>
      </c>
      <c r="I22" s="399">
        <f t="shared" si="2"/>
        <v>0</v>
      </c>
      <c r="J22" s="400">
        <f>J7</f>
        <v>8</v>
      </c>
      <c r="K22" s="408">
        <f>K7</f>
        <v>20</v>
      </c>
      <c r="L22" s="409">
        <v>0</v>
      </c>
      <c r="M22" s="410">
        <f t="shared" si="3"/>
        <v>0</v>
      </c>
      <c r="N22" s="403">
        <v>1</v>
      </c>
      <c r="O22" s="404">
        <f t="shared" si="4"/>
        <v>0</v>
      </c>
      <c r="P22" s="411">
        <v>15</v>
      </c>
      <c r="Q22" s="406">
        <v>0</v>
      </c>
      <c r="R22" s="406"/>
      <c r="S22" s="406"/>
      <c r="T22" s="407"/>
      <c r="V22" s="412" t="s">
        <v>508</v>
      </c>
      <c r="W22" s="413" t="str">
        <f t="shared" si="5"/>
        <v/>
      </c>
      <c r="X22" s="413" t="str">
        <f t="shared" si="5"/>
        <v/>
      </c>
      <c r="Y22" s="413" t="str">
        <f t="shared" si="5"/>
        <v/>
      </c>
      <c r="Z22" s="357">
        <v>17.25</v>
      </c>
    </row>
    <row r="23" spans="1:26" ht="17.25" customHeight="1">
      <c r="A23" s="351">
        <v>16</v>
      </c>
      <c r="B23" s="392">
        <f>IF(I7=0,0,I23/I7)</f>
        <v>0</v>
      </c>
      <c r="C23" s="393">
        <v>0</v>
      </c>
      <c r="D23" s="394">
        <v>0</v>
      </c>
      <c r="E23" s="395">
        <v>0</v>
      </c>
      <c r="F23" s="396">
        <v>0</v>
      </c>
      <c r="G23" s="397">
        <f t="shared" si="0"/>
        <v>0</v>
      </c>
      <c r="H23" s="398">
        <f t="shared" si="1"/>
        <v>0</v>
      </c>
      <c r="I23" s="399">
        <f t="shared" si="2"/>
        <v>0</v>
      </c>
      <c r="J23" s="400">
        <f>J7</f>
        <v>8</v>
      </c>
      <c r="K23" s="408">
        <f>K7</f>
        <v>20</v>
      </c>
      <c r="L23" s="409">
        <v>0</v>
      </c>
      <c r="M23" s="410">
        <f t="shared" si="3"/>
        <v>0</v>
      </c>
      <c r="N23" s="403">
        <v>1</v>
      </c>
      <c r="O23" s="404">
        <f t="shared" si="4"/>
        <v>0</v>
      </c>
      <c r="P23" s="411">
        <v>16</v>
      </c>
      <c r="Q23" s="406">
        <v>0</v>
      </c>
      <c r="R23" s="406"/>
      <c r="S23" s="406"/>
      <c r="T23" s="407"/>
      <c r="V23" s="412" t="s">
        <v>508</v>
      </c>
      <c r="W23" s="413" t="str">
        <f t="shared" si="5"/>
        <v/>
      </c>
      <c r="X23" s="413" t="str">
        <f t="shared" si="5"/>
        <v/>
      </c>
      <c r="Y23" s="413" t="str">
        <f t="shared" si="5"/>
        <v/>
      </c>
      <c r="Z23" s="357">
        <v>17.25</v>
      </c>
    </row>
    <row r="24" spans="1:26" ht="17.25" customHeight="1">
      <c r="A24" s="351">
        <v>17</v>
      </c>
      <c r="B24" s="392">
        <f>IF(I7=0,0,I24/I7)</f>
        <v>0</v>
      </c>
      <c r="C24" s="393">
        <v>0</v>
      </c>
      <c r="D24" s="394">
        <v>0</v>
      </c>
      <c r="E24" s="395">
        <v>0</v>
      </c>
      <c r="F24" s="396">
        <v>0</v>
      </c>
      <c r="G24" s="397">
        <f t="shared" si="0"/>
        <v>0</v>
      </c>
      <c r="H24" s="398">
        <f t="shared" si="1"/>
        <v>0</v>
      </c>
      <c r="I24" s="399">
        <f t="shared" si="2"/>
        <v>0</v>
      </c>
      <c r="J24" s="400">
        <f>J7</f>
        <v>8</v>
      </c>
      <c r="K24" s="408">
        <f>K7</f>
        <v>20</v>
      </c>
      <c r="L24" s="409">
        <v>0</v>
      </c>
      <c r="M24" s="410">
        <f t="shared" si="3"/>
        <v>0</v>
      </c>
      <c r="N24" s="403">
        <v>1</v>
      </c>
      <c r="O24" s="404">
        <f t="shared" si="4"/>
        <v>0</v>
      </c>
      <c r="P24" s="411">
        <v>17</v>
      </c>
      <c r="Q24" s="406">
        <v>0</v>
      </c>
      <c r="R24" s="406"/>
      <c r="S24" s="406"/>
      <c r="T24" s="407"/>
      <c r="V24" s="412" t="s">
        <v>508</v>
      </c>
      <c r="W24" s="413" t="str">
        <f t="shared" si="5"/>
        <v/>
      </c>
      <c r="X24" s="413" t="str">
        <f t="shared" si="5"/>
        <v/>
      </c>
      <c r="Y24" s="413" t="str">
        <f t="shared" si="5"/>
        <v/>
      </c>
      <c r="Z24" s="357">
        <v>17.25</v>
      </c>
    </row>
    <row r="25" spans="1:26" ht="17.25" customHeight="1">
      <c r="A25" s="351">
        <v>18</v>
      </c>
      <c r="B25" s="392">
        <f>IF(I7=0,0,I25/I7)</f>
        <v>0</v>
      </c>
      <c r="C25" s="393">
        <v>0</v>
      </c>
      <c r="D25" s="394">
        <v>0</v>
      </c>
      <c r="E25" s="395">
        <v>0</v>
      </c>
      <c r="F25" s="396">
        <v>0</v>
      </c>
      <c r="G25" s="397">
        <f t="shared" si="0"/>
        <v>0</v>
      </c>
      <c r="H25" s="398">
        <f t="shared" si="1"/>
        <v>0</v>
      </c>
      <c r="I25" s="399">
        <f t="shared" si="2"/>
        <v>0</v>
      </c>
      <c r="J25" s="400">
        <f>J7</f>
        <v>8</v>
      </c>
      <c r="K25" s="408">
        <f>K7</f>
        <v>20</v>
      </c>
      <c r="L25" s="409">
        <v>0</v>
      </c>
      <c r="M25" s="410">
        <f t="shared" si="3"/>
        <v>0</v>
      </c>
      <c r="N25" s="403">
        <v>1</v>
      </c>
      <c r="O25" s="404">
        <f t="shared" si="4"/>
        <v>0</v>
      </c>
      <c r="P25" s="411">
        <v>18</v>
      </c>
      <c r="Q25" s="406">
        <v>0</v>
      </c>
      <c r="R25" s="406"/>
      <c r="S25" s="406"/>
      <c r="T25" s="407"/>
      <c r="V25" s="412" t="s">
        <v>508</v>
      </c>
      <c r="W25" s="413" t="str">
        <f t="shared" si="5"/>
        <v/>
      </c>
      <c r="X25" s="413" t="str">
        <f t="shared" si="5"/>
        <v/>
      </c>
      <c r="Y25" s="413" t="str">
        <f t="shared" si="5"/>
        <v/>
      </c>
      <c r="Z25" s="357">
        <v>17.25</v>
      </c>
    </row>
    <row r="26" spans="1:26" ht="17.25" customHeight="1">
      <c r="A26" s="351">
        <v>19</v>
      </c>
      <c r="B26" s="392">
        <f>IF(I7=0,0,I26/I7)</f>
        <v>0</v>
      </c>
      <c r="C26" s="393">
        <v>0</v>
      </c>
      <c r="D26" s="394">
        <v>0</v>
      </c>
      <c r="E26" s="395">
        <v>0</v>
      </c>
      <c r="F26" s="396">
        <v>0</v>
      </c>
      <c r="G26" s="397">
        <f t="shared" si="0"/>
        <v>0</v>
      </c>
      <c r="H26" s="398">
        <f t="shared" si="1"/>
        <v>0</v>
      </c>
      <c r="I26" s="399">
        <f t="shared" si="2"/>
        <v>0</v>
      </c>
      <c r="J26" s="400">
        <f>J7</f>
        <v>8</v>
      </c>
      <c r="K26" s="408">
        <f>K7</f>
        <v>20</v>
      </c>
      <c r="L26" s="409">
        <v>0</v>
      </c>
      <c r="M26" s="410">
        <f t="shared" si="3"/>
        <v>0</v>
      </c>
      <c r="N26" s="403">
        <v>1</v>
      </c>
      <c r="O26" s="404">
        <f t="shared" si="4"/>
        <v>0</v>
      </c>
      <c r="P26" s="411">
        <v>19</v>
      </c>
      <c r="Q26" s="406">
        <v>0</v>
      </c>
      <c r="R26" s="406"/>
      <c r="S26" s="406"/>
      <c r="T26" s="407"/>
      <c r="V26" s="412" t="s">
        <v>508</v>
      </c>
      <c r="W26" s="413" t="str">
        <f t="shared" si="5"/>
        <v/>
      </c>
      <c r="X26" s="413" t="str">
        <f t="shared" si="5"/>
        <v/>
      </c>
      <c r="Y26" s="413" t="str">
        <f t="shared" si="5"/>
        <v/>
      </c>
      <c r="Z26" s="357">
        <v>17.25</v>
      </c>
    </row>
    <row r="27" spans="1:26" ht="17.25" customHeight="1">
      <c r="A27" s="351">
        <v>20</v>
      </c>
      <c r="B27" s="392">
        <f>IF(I7=0,0,I27/I7)</f>
        <v>0</v>
      </c>
      <c r="C27" s="393">
        <v>0</v>
      </c>
      <c r="D27" s="394">
        <v>0</v>
      </c>
      <c r="E27" s="395">
        <v>0</v>
      </c>
      <c r="F27" s="396">
        <v>0</v>
      </c>
      <c r="G27" s="397">
        <f t="shared" si="0"/>
        <v>0</v>
      </c>
      <c r="H27" s="398">
        <f t="shared" si="1"/>
        <v>0</v>
      </c>
      <c r="I27" s="399">
        <f t="shared" si="2"/>
        <v>0</v>
      </c>
      <c r="J27" s="400">
        <f>J7</f>
        <v>8</v>
      </c>
      <c r="K27" s="408">
        <f>K7</f>
        <v>20</v>
      </c>
      <c r="L27" s="409">
        <v>0</v>
      </c>
      <c r="M27" s="410">
        <f t="shared" si="3"/>
        <v>0</v>
      </c>
      <c r="N27" s="403">
        <v>1</v>
      </c>
      <c r="O27" s="404">
        <f t="shared" si="4"/>
        <v>0</v>
      </c>
      <c r="P27" s="411">
        <v>20</v>
      </c>
      <c r="Q27" s="406">
        <v>0</v>
      </c>
      <c r="R27" s="406"/>
      <c r="S27" s="406"/>
      <c r="T27" s="407"/>
      <c r="V27" s="412" t="s">
        <v>508</v>
      </c>
      <c r="W27" s="413" t="str">
        <f t="shared" si="5"/>
        <v/>
      </c>
      <c r="X27" s="413" t="str">
        <f t="shared" si="5"/>
        <v/>
      </c>
      <c r="Y27" s="413" t="str">
        <f t="shared" si="5"/>
        <v/>
      </c>
      <c r="Z27" s="357">
        <v>17.25</v>
      </c>
    </row>
    <row r="28" spans="1:26" ht="17.25" customHeight="1">
      <c r="A28" s="351">
        <v>21</v>
      </c>
      <c r="B28" s="392">
        <f>IF(I7=0,0,I28/I7)</f>
        <v>0</v>
      </c>
      <c r="C28" s="393">
        <v>0</v>
      </c>
      <c r="D28" s="394">
        <v>0</v>
      </c>
      <c r="E28" s="395">
        <v>0</v>
      </c>
      <c r="F28" s="396">
        <v>0</v>
      </c>
      <c r="G28" s="397">
        <f t="shared" si="0"/>
        <v>0</v>
      </c>
      <c r="H28" s="398">
        <f t="shared" si="1"/>
        <v>0</v>
      </c>
      <c r="I28" s="399">
        <f t="shared" si="2"/>
        <v>0</v>
      </c>
      <c r="J28" s="400">
        <f>J7</f>
        <v>8</v>
      </c>
      <c r="K28" s="408">
        <f>K7</f>
        <v>20</v>
      </c>
      <c r="L28" s="409">
        <v>0</v>
      </c>
      <c r="M28" s="410">
        <f t="shared" si="3"/>
        <v>0</v>
      </c>
      <c r="N28" s="403">
        <v>1</v>
      </c>
      <c r="O28" s="404">
        <f t="shared" si="4"/>
        <v>0</v>
      </c>
      <c r="P28" s="411">
        <v>21</v>
      </c>
      <c r="Q28" s="406">
        <v>0</v>
      </c>
      <c r="R28" s="406"/>
      <c r="S28" s="406"/>
      <c r="T28" s="407"/>
      <c r="V28" s="412" t="s">
        <v>508</v>
      </c>
      <c r="W28" s="413" t="str">
        <f t="shared" si="5"/>
        <v/>
      </c>
      <c r="X28" s="413" t="str">
        <f t="shared" si="5"/>
        <v/>
      </c>
      <c r="Y28" s="413" t="str">
        <f t="shared" si="5"/>
        <v/>
      </c>
      <c r="Z28" s="357">
        <v>17.25</v>
      </c>
    </row>
    <row r="29" spans="1:26" ht="17.25" customHeight="1">
      <c r="A29" s="351">
        <v>22</v>
      </c>
      <c r="B29" s="392">
        <f>IF(I7=0,0,I29/I7)</f>
        <v>0</v>
      </c>
      <c r="C29" s="393">
        <v>0</v>
      </c>
      <c r="D29" s="394">
        <v>0</v>
      </c>
      <c r="E29" s="395">
        <v>0</v>
      </c>
      <c r="F29" s="396">
        <v>0</v>
      </c>
      <c r="G29" s="397">
        <f t="shared" si="0"/>
        <v>0</v>
      </c>
      <c r="H29" s="398">
        <f t="shared" si="1"/>
        <v>0</v>
      </c>
      <c r="I29" s="399">
        <f t="shared" si="2"/>
        <v>0</v>
      </c>
      <c r="J29" s="400">
        <f>J7</f>
        <v>8</v>
      </c>
      <c r="K29" s="408">
        <f>K7</f>
        <v>20</v>
      </c>
      <c r="L29" s="409">
        <v>0</v>
      </c>
      <c r="M29" s="410">
        <f t="shared" si="3"/>
        <v>0</v>
      </c>
      <c r="N29" s="403">
        <v>1</v>
      </c>
      <c r="O29" s="404">
        <f t="shared" si="4"/>
        <v>0</v>
      </c>
      <c r="P29" s="411">
        <v>22</v>
      </c>
      <c r="Q29" s="406">
        <v>0</v>
      </c>
      <c r="R29" s="406"/>
      <c r="S29" s="406"/>
      <c r="T29" s="407"/>
      <c r="V29" s="412" t="s">
        <v>508</v>
      </c>
      <c r="W29" s="413" t="str">
        <f t="shared" si="5"/>
        <v/>
      </c>
      <c r="X29" s="413" t="str">
        <f t="shared" si="5"/>
        <v/>
      </c>
      <c r="Y29" s="413" t="str">
        <f t="shared" si="5"/>
        <v/>
      </c>
      <c r="Z29" s="357">
        <v>17.25</v>
      </c>
    </row>
    <row r="30" spans="1:26" ht="17.25" customHeight="1">
      <c r="A30" s="351">
        <v>23</v>
      </c>
      <c r="B30" s="392">
        <f>IF(I7=0,0,I30/I7)</f>
        <v>0</v>
      </c>
      <c r="C30" s="393">
        <v>0</v>
      </c>
      <c r="D30" s="394">
        <v>0</v>
      </c>
      <c r="E30" s="395">
        <v>0</v>
      </c>
      <c r="F30" s="396">
        <v>0</v>
      </c>
      <c r="G30" s="397">
        <f t="shared" si="0"/>
        <v>0</v>
      </c>
      <c r="H30" s="398">
        <f t="shared" si="1"/>
        <v>0</v>
      </c>
      <c r="I30" s="399">
        <f t="shared" si="2"/>
        <v>0</v>
      </c>
      <c r="J30" s="400">
        <f>J7</f>
        <v>8</v>
      </c>
      <c r="K30" s="408">
        <f>K7</f>
        <v>20</v>
      </c>
      <c r="L30" s="409">
        <v>0</v>
      </c>
      <c r="M30" s="410">
        <f t="shared" si="3"/>
        <v>0</v>
      </c>
      <c r="N30" s="403">
        <v>1</v>
      </c>
      <c r="O30" s="404">
        <f t="shared" si="4"/>
        <v>0</v>
      </c>
      <c r="P30" s="411">
        <v>23</v>
      </c>
      <c r="Q30" s="406">
        <v>0</v>
      </c>
      <c r="R30" s="406"/>
      <c r="S30" s="406"/>
      <c r="T30" s="407"/>
      <c r="V30" s="412" t="s">
        <v>508</v>
      </c>
      <c r="W30" s="413" t="str">
        <f t="shared" si="5"/>
        <v/>
      </c>
      <c r="X30" s="413" t="str">
        <f t="shared" si="5"/>
        <v/>
      </c>
      <c r="Y30" s="413" t="str">
        <f t="shared" si="5"/>
        <v/>
      </c>
      <c r="Z30" s="357">
        <v>17.25</v>
      </c>
    </row>
    <row r="31" spans="1:26" ht="17.25" customHeight="1">
      <c r="A31" s="351">
        <v>24</v>
      </c>
      <c r="B31" s="392">
        <f>IF(I7=0,0,I31/I7)</f>
        <v>0</v>
      </c>
      <c r="C31" s="393">
        <v>0</v>
      </c>
      <c r="D31" s="394">
        <v>0</v>
      </c>
      <c r="E31" s="395">
        <v>0</v>
      </c>
      <c r="F31" s="396">
        <v>0</v>
      </c>
      <c r="G31" s="397">
        <f t="shared" si="0"/>
        <v>0</v>
      </c>
      <c r="H31" s="398">
        <f t="shared" si="1"/>
        <v>0</v>
      </c>
      <c r="I31" s="399">
        <f t="shared" si="2"/>
        <v>0</v>
      </c>
      <c r="J31" s="400">
        <f>J7</f>
        <v>8</v>
      </c>
      <c r="K31" s="408">
        <f>K7</f>
        <v>20</v>
      </c>
      <c r="L31" s="409">
        <v>0</v>
      </c>
      <c r="M31" s="410">
        <f t="shared" si="3"/>
        <v>0</v>
      </c>
      <c r="N31" s="403">
        <v>1</v>
      </c>
      <c r="O31" s="404">
        <f t="shared" si="4"/>
        <v>0</v>
      </c>
      <c r="P31" s="411">
        <v>24</v>
      </c>
      <c r="Q31" s="406">
        <v>0</v>
      </c>
      <c r="R31" s="406"/>
      <c r="S31" s="406"/>
      <c r="T31" s="407"/>
      <c r="V31" s="412" t="s">
        <v>508</v>
      </c>
      <c r="W31" s="413" t="str">
        <f t="shared" si="5"/>
        <v/>
      </c>
      <c r="X31" s="413" t="str">
        <f t="shared" si="5"/>
        <v/>
      </c>
      <c r="Y31" s="413" t="str">
        <f t="shared" si="5"/>
        <v/>
      </c>
      <c r="Z31" s="357">
        <v>17.25</v>
      </c>
    </row>
    <row r="32" spans="1:26" ht="17.25" customHeight="1">
      <c r="A32" s="351">
        <v>25</v>
      </c>
      <c r="B32" s="392">
        <f>IF(I7=0,0,I32/I7)</f>
        <v>0</v>
      </c>
      <c r="C32" s="393">
        <v>0</v>
      </c>
      <c r="D32" s="394">
        <v>0</v>
      </c>
      <c r="E32" s="395">
        <v>0</v>
      </c>
      <c r="F32" s="396">
        <v>0</v>
      </c>
      <c r="G32" s="397">
        <f t="shared" si="0"/>
        <v>0</v>
      </c>
      <c r="H32" s="398">
        <f t="shared" si="1"/>
        <v>0</v>
      </c>
      <c r="I32" s="399">
        <f t="shared" si="2"/>
        <v>0</v>
      </c>
      <c r="J32" s="400">
        <f>J7</f>
        <v>8</v>
      </c>
      <c r="K32" s="408">
        <f>K7</f>
        <v>20</v>
      </c>
      <c r="L32" s="409">
        <v>0</v>
      </c>
      <c r="M32" s="410">
        <f t="shared" si="3"/>
        <v>0</v>
      </c>
      <c r="N32" s="403">
        <v>1</v>
      </c>
      <c r="O32" s="404">
        <f t="shared" si="4"/>
        <v>0</v>
      </c>
      <c r="P32" s="411">
        <v>25</v>
      </c>
      <c r="Q32" s="406">
        <v>0</v>
      </c>
      <c r="R32" s="406"/>
      <c r="S32" s="406"/>
      <c r="T32" s="407"/>
      <c r="V32" s="412" t="s">
        <v>508</v>
      </c>
      <c r="W32" s="413" t="str">
        <f t="shared" si="5"/>
        <v/>
      </c>
      <c r="X32" s="413" t="str">
        <f t="shared" si="5"/>
        <v/>
      </c>
      <c r="Y32" s="413" t="str">
        <f t="shared" si="5"/>
        <v/>
      </c>
      <c r="Z32" s="357">
        <v>17.25</v>
      </c>
    </row>
    <row r="33" spans="1:26" ht="17.25" customHeight="1">
      <c r="A33" s="351">
        <v>26</v>
      </c>
      <c r="B33" s="392">
        <f>IF(I7=0,0,I33/I7)</f>
        <v>0</v>
      </c>
      <c r="C33" s="393">
        <v>0</v>
      </c>
      <c r="D33" s="394">
        <v>0</v>
      </c>
      <c r="E33" s="395">
        <v>0</v>
      </c>
      <c r="F33" s="396">
        <v>0</v>
      </c>
      <c r="G33" s="397">
        <f t="shared" si="0"/>
        <v>0</v>
      </c>
      <c r="H33" s="398">
        <f t="shared" si="1"/>
        <v>0</v>
      </c>
      <c r="I33" s="399">
        <f t="shared" si="2"/>
        <v>0</v>
      </c>
      <c r="J33" s="400">
        <f>J7</f>
        <v>8</v>
      </c>
      <c r="K33" s="408">
        <f>K7</f>
        <v>20</v>
      </c>
      <c r="L33" s="409">
        <v>0</v>
      </c>
      <c r="M33" s="410">
        <f t="shared" si="3"/>
        <v>0</v>
      </c>
      <c r="N33" s="403">
        <v>1</v>
      </c>
      <c r="O33" s="404">
        <f t="shared" si="4"/>
        <v>0</v>
      </c>
      <c r="P33" s="411">
        <v>26</v>
      </c>
      <c r="Q33" s="406">
        <v>0</v>
      </c>
      <c r="R33" s="406"/>
      <c r="S33" s="406"/>
      <c r="T33" s="407"/>
      <c r="V33" s="412" t="s">
        <v>508</v>
      </c>
      <c r="W33" s="413" t="str">
        <f t="shared" si="5"/>
        <v/>
      </c>
      <c r="X33" s="413" t="str">
        <f t="shared" si="5"/>
        <v/>
      </c>
      <c r="Y33" s="413" t="str">
        <f t="shared" si="5"/>
        <v/>
      </c>
      <c r="Z33" s="357">
        <v>17.25</v>
      </c>
    </row>
    <row r="34" spans="1:26" ht="17.25" customHeight="1">
      <c r="A34" s="351">
        <v>27</v>
      </c>
      <c r="B34" s="392">
        <f>IF(I7=0,0,I34/I7)</f>
        <v>0</v>
      </c>
      <c r="C34" s="393">
        <v>0</v>
      </c>
      <c r="D34" s="394">
        <v>0</v>
      </c>
      <c r="E34" s="395">
        <v>0</v>
      </c>
      <c r="F34" s="396">
        <v>0</v>
      </c>
      <c r="G34" s="397">
        <f t="shared" si="0"/>
        <v>0</v>
      </c>
      <c r="H34" s="398">
        <f t="shared" si="1"/>
        <v>0</v>
      </c>
      <c r="I34" s="399">
        <f t="shared" si="2"/>
        <v>0</v>
      </c>
      <c r="J34" s="400">
        <f>J7</f>
        <v>8</v>
      </c>
      <c r="K34" s="408">
        <f>K7</f>
        <v>20</v>
      </c>
      <c r="L34" s="409">
        <v>0</v>
      </c>
      <c r="M34" s="410">
        <f t="shared" si="3"/>
        <v>0</v>
      </c>
      <c r="N34" s="403">
        <v>1</v>
      </c>
      <c r="O34" s="404">
        <f t="shared" si="4"/>
        <v>0</v>
      </c>
      <c r="P34" s="411">
        <v>27</v>
      </c>
      <c r="Q34" s="406">
        <v>0</v>
      </c>
      <c r="R34" s="406"/>
      <c r="S34" s="406"/>
      <c r="T34" s="407"/>
      <c r="V34" s="412" t="s">
        <v>508</v>
      </c>
      <c r="W34" s="413" t="str">
        <f t="shared" si="5"/>
        <v/>
      </c>
      <c r="X34" s="413" t="str">
        <f t="shared" si="5"/>
        <v/>
      </c>
      <c r="Y34" s="413" t="str">
        <f t="shared" si="5"/>
        <v/>
      </c>
      <c r="Z34" s="357">
        <v>17.25</v>
      </c>
    </row>
    <row r="35" spans="1:26" ht="17.25" customHeight="1">
      <c r="A35" s="351">
        <v>28</v>
      </c>
      <c r="B35" s="392">
        <f>IF(I7=0,0,I35/I7)</f>
        <v>0</v>
      </c>
      <c r="C35" s="393">
        <v>0</v>
      </c>
      <c r="D35" s="394">
        <v>0</v>
      </c>
      <c r="E35" s="395">
        <v>0</v>
      </c>
      <c r="F35" s="396">
        <v>0</v>
      </c>
      <c r="G35" s="397">
        <f t="shared" si="0"/>
        <v>0</v>
      </c>
      <c r="H35" s="398">
        <f t="shared" si="1"/>
        <v>0</v>
      </c>
      <c r="I35" s="399">
        <f t="shared" si="2"/>
        <v>0</v>
      </c>
      <c r="J35" s="400">
        <f>J7</f>
        <v>8</v>
      </c>
      <c r="K35" s="408">
        <f>K7</f>
        <v>20</v>
      </c>
      <c r="L35" s="409">
        <v>0</v>
      </c>
      <c r="M35" s="410">
        <f t="shared" si="3"/>
        <v>0</v>
      </c>
      <c r="N35" s="403">
        <v>1</v>
      </c>
      <c r="O35" s="404">
        <f t="shared" si="4"/>
        <v>0</v>
      </c>
      <c r="P35" s="411">
        <v>28</v>
      </c>
      <c r="Q35" s="406">
        <v>0</v>
      </c>
      <c r="R35" s="406"/>
      <c r="S35" s="406"/>
      <c r="T35" s="407"/>
      <c r="V35" s="412" t="s">
        <v>508</v>
      </c>
      <c r="W35" s="413" t="str">
        <f t="shared" si="5"/>
        <v/>
      </c>
      <c r="X35" s="413" t="str">
        <f t="shared" si="5"/>
        <v/>
      </c>
      <c r="Y35" s="413" t="str">
        <f t="shared" si="5"/>
        <v/>
      </c>
      <c r="Z35" s="357">
        <v>17.25</v>
      </c>
    </row>
    <row r="36" spans="1:26" ht="17.25" customHeight="1">
      <c r="A36" s="351">
        <v>29</v>
      </c>
      <c r="B36" s="392">
        <f>IF(I7=0,0,I36/I7)</f>
        <v>0</v>
      </c>
      <c r="C36" s="393">
        <v>0</v>
      </c>
      <c r="D36" s="394">
        <v>0</v>
      </c>
      <c r="E36" s="395">
        <v>0</v>
      </c>
      <c r="F36" s="396">
        <v>0</v>
      </c>
      <c r="G36" s="397">
        <f t="shared" si="0"/>
        <v>0</v>
      </c>
      <c r="H36" s="398">
        <f t="shared" si="1"/>
        <v>0</v>
      </c>
      <c r="I36" s="399">
        <f t="shared" si="2"/>
        <v>0</v>
      </c>
      <c r="J36" s="400">
        <f>J7</f>
        <v>8</v>
      </c>
      <c r="K36" s="408">
        <f>K7</f>
        <v>20</v>
      </c>
      <c r="L36" s="409">
        <v>0</v>
      </c>
      <c r="M36" s="410">
        <f t="shared" si="3"/>
        <v>0</v>
      </c>
      <c r="N36" s="403">
        <v>1</v>
      </c>
      <c r="O36" s="404">
        <f t="shared" si="4"/>
        <v>0</v>
      </c>
      <c r="P36" s="411">
        <v>29</v>
      </c>
      <c r="Q36" s="406">
        <v>0</v>
      </c>
      <c r="R36" s="406"/>
      <c r="S36" s="406"/>
      <c r="T36" s="407"/>
      <c r="V36" s="412" t="s">
        <v>508</v>
      </c>
      <c r="W36" s="413" t="str">
        <f t="shared" si="5"/>
        <v/>
      </c>
      <c r="X36" s="413" t="str">
        <f t="shared" si="5"/>
        <v/>
      </c>
      <c r="Y36" s="413" t="str">
        <f t="shared" si="5"/>
        <v/>
      </c>
      <c r="Z36" s="357">
        <v>17.25</v>
      </c>
    </row>
    <row r="37" spans="1:26" ht="17.25" customHeight="1">
      <c r="A37" s="351">
        <v>30</v>
      </c>
      <c r="B37" s="392">
        <f>IF(I7=0,0,I37/I7)</f>
        <v>0</v>
      </c>
      <c r="C37" s="393">
        <v>0</v>
      </c>
      <c r="D37" s="394">
        <v>0</v>
      </c>
      <c r="E37" s="395">
        <v>0</v>
      </c>
      <c r="F37" s="396">
        <v>0</v>
      </c>
      <c r="G37" s="397">
        <f t="shared" si="0"/>
        <v>0</v>
      </c>
      <c r="H37" s="398">
        <f t="shared" si="1"/>
        <v>0</v>
      </c>
      <c r="I37" s="399">
        <f t="shared" si="2"/>
        <v>0</v>
      </c>
      <c r="J37" s="400">
        <f>J7</f>
        <v>8</v>
      </c>
      <c r="K37" s="408">
        <f>K7</f>
        <v>20</v>
      </c>
      <c r="L37" s="409">
        <v>0</v>
      </c>
      <c r="M37" s="410">
        <f t="shared" si="3"/>
        <v>0</v>
      </c>
      <c r="N37" s="403">
        <v>1</v>
      </c>
      <c r="O37" s="404">
        <f t="shared" si="4"/>
        <v>0</v>
      </c>
      <c r="P37" s="411">
        <v>30</v>
      </c>
      <c r="Q37" s="406">
        <v>0</v>
      </c>
      <c r="R37" s="406"/>
      <c r="S37" s="406"/>
      <c r="T37" s="407"/>
      <c r="V37" s="412" t="s">
        <v>508</v>
      </c>
      <c r="W37" s="413" t="str">
        <f t="shared" si="5"/>
        <v/>
      </c>
      <c r="X37" s="413" t="str">
        <f t="shared" si="5"/>
        <v/>
      </c>
      <c r="Y37" s="413" t="str">
        <f t="shared" si="5"/>
        <v/>
      </c>
      <c r="Z37" s="357">
        <v>17.25</v>
      </c>
    </row>
    <row r="38" spans="1:26" ht="17.25" customHeight="1">
      <c r="A38" s="351">
        <v>31</v>
      </c>
      <c r="B38" s="392">
        <f>IF(I7=0,0,I38/I7)</f>
        <v>0</v>
      </c>
      <c r="C38" s="393">
        <v>0</v>
      </c>
      <c r="D38" s="394">
        <v>0</v>
      </c>
      <c r="E38" s="395">
        <v>0</v>
      </c>
      <c r="F38" s="396">
        <v>0</v>
      </c>
      <c r="G38" s="397">
        <f t="shared" si="0"/>
        <v>0</v>
      </c>
      <c r="H38" s="398">
        <f t="shared" si="1"/>
        <v>0</v>
      </c>
      <c r="I38" s="399">
        <f t="shared" si="2"/>
        <v>0</v>
      </c>
      <c r="J38" s="400">
        <f>J7</f>
        <v>8</v>
      </c>
      <c r="K38" s="408">
        <f>K7</f>
        <v>20</v>
      </c>
      <c r="L38" s="409">
        <v>0</v>
      </c>
      <c r="M38" s="410">
        <f t="shared" si="3"/>
        <v>0</v>
      </c>
      <c r="N38" s="403">
        <v>1</v>
      </c>
      <c r="O38" s="404">
        <f t="shared" si="4"/>
        <v>0</v>
      </c>
      <c r="P38" s="411">
        <v>31</v>
      </c>
      <c r="Q38" s="406">
        <v>0</v>
      </c>
      <c r="R38" s="406"/>
      <c r="S38" s="406"/>
      <c r="T38" s="407"/>
      <c r="V38" s="412" t="s">
        <v>508</v>
      </c>
      <c r="W38" s="413" t="str">
        <f t="shared" si="5"/>
        <v/>
      </c>
      <c r="X38" s="413" t="str">
        <f t="shared" si="5"/>
        <v/>
      </c>
      <c r="Y38" s="413" t="str">
        <f t="shared" si="5"/>
        <v/>
      </c>
      <c r="Z38" s="357">
        <v>17.25</v>
      </c>
    </row>
    <row r="39" spans="1:26" ht="17.25" customHeight="1">
      <c r="A39" s="351">
        <v>32</v>
      </c>
      <c r="B39" s="392">
        <f>IF(I7=0,0,I39/I7)</f>
        <v>0</v>
      </c>
      <c r="C39" s="393">
        <v>0</v>
      </c>
      <c r="D39" s="394">
        <v>0</v>
      </c>
      <c r="E39" s="395">
        <v>0</v>
      </c>
      <c r="F39" s="396">
        <v>0</v>
      </c>
      <c r="G39" s="397">
        <f t="shared" si="0"/>
        <v>0</v>
      </c>
      <c r="H39" s="398">
        <f t="shared" si="1"/>
        <v>0</v>
      </c>
      <c r="I39" s="399">
        <f t="shared" si="2"/>
        <v>0</v>
      </c>
      <c r="J39" s="400">
        <f>J7</f>
        <v>8</v>
      </c>
      <c r="K39" s="408">
        <f>K7</f>
        <v>20</v>
      </c>
      <c r="L39" s="409">
        <v>0</v>
      </c>
      <c r="M39" s="410">
        <f t="shared" si="3"/>
        <v>0</v>
      </c>
      <c r="N39" s="403">
        <v>1</v>
      </c>
      <c r="O39" s="404">
        <f t="shared" si="4"/>
        <v>0</v>
      </c>
      <c r="P39" s="411">
        <v>32</v>
      </c>
      <c r="Q39" s="406">
        <v>0</v>
      </c>
      <c r="R39" s="406"/>
      <c r="S39" s="406"/>
      <c r="T39" s="407"/>
      <c r="V39" s="412" t="s">
        <v>508</v>
      </c>
      <c r="W39" s="413" t="str">
        <f t="shared" si="5"/>
        <v/>
      </c>
      <c r="X39" s="413" t="str">
        <f t="shared" si="5"/>
        <v/>
      </c>
      <c r="Y39" s="413" t="str">
        <f t="shared" si="5"/>
        <v/>
      </c>
      <c r="Z39" s="357">
        <v>17.25</v>
      </c>
    </row>
    <row r="40" spans="1:26" ht="17.25" customHeight="1">
      <c r="A40" s="351">
        <v>33</v>
      </c>
      <c r="B40" s="392">
        <f>IF(I7=0,0,I40/I7)</f>
        <v>0</v>
      </c>
      <c r="C40" s="393">
        <v>0</v>
      </c>
      <c r="D40" s="394">
        <v>0</v>
      </c>
      <c r="E40" s="395">
        <v>0</v>
      </c>
      <c r="F40" s="396">
        <v>0</v>
      </c>
      <c r="G40" s="397">
        <f t="shared" si="0"/>
        <v>0</v>
      </c>
      <c r="H40" s="398">
        <f t="shared" si="1"/>
        <v>0</v>
      </c>
      <c r="I40" s="399">
        <f t="shared" si="2"/>
        <v>0</v>
      </c>
      <c r="J40" s="400">
        <f>J7</f>
        <v>8</v>
      </c>
      <c r="K40" s="408">
        <f>K7</f>
        <v>20</v>
      </c>
      <c r="L40" s="409">
        <v>0</v>
      </c>
      <c r="M40" s="410">
        <f t="shared" si="3"/>
        <v>0</v>
      </c>
      <c r="N40" s="403">
        <v>1</v>
      </c>
      <c r="O40" s="404">
        <f t="shared" si="4"/>
        <v>0</v>
      </c>
      <c r="P40" s="411">
        <v>33</v>
      </c>
      <c r="Q40" s="406">
        <v>0</v>
      </c>
      <c r="R40" s="406"/>
      <c r="S40" s="406"/>
      <c r="T40" s="407"/>
      <c r="V40" s="412" t="s">
        <v>508</v>
      </c>
      <c r="W40" s="413" t="str">
        <f t="shared" si="5"/>
        <v/>
      </c>
      <c r="X40" s="413" t="str">
        <f t="shared" si="5"/>
        <v/>
      </c>
      <c r="Y40" s="413" t="str">
        <f t="shared" si="5"/>
        <v/>
      </c>
      <c r="Z40" s="357">
        <v>17.25</v>
      </c>
    </row>
    <row r="41" spans="1:26" ht="17.25" customHeight="1">
      <c r="A41" s="351">
        <v>34</v>
      </c>
      <c r="B41" s="392">
        <f>IF(I7=0,0,I41/I7)</f>
        <v>0</v>
      </c>
      <c r="C41" s="393">
        <v>0</v>
      </c>
      <c r="D41" s="394">
        <v>0</v>
      </c>
      <c r="E41" s="395">
        <v>0</v>
      </c>
      <c r="F41" s="396">
        <v>0</v>
      </c>
      <c r="G41" s="397">
        <f t="shared" si="0"/>
        <v>0</v>
      </c>
      <c r="H41" s="398">
        <f t="shared" si="1"/>
        <v>0</v>
      </c>
      <c r="I41" s="399">
        <f t="shared" si="2"/>
        <v>0</v>
      </c>
      <c r="J41" s="400">
        <f>J7</f>
        <v>8</v>
      </c>
      <c r="K41" s="408">
        <f>K7</f>
        <v>20</v>
      </c>
      <c r="L41" s="409">
        <v>0</v>
      </c>
      <c r="M41" s="410">
        <f t="shared" si="3"/>
        <v>0</v>
      </c>
      <c r="N41" s="403">
        <v>1</v>
      </c>
      <c r="O41" s="404">
        <f t="shared" si="4"/>
        <v>0</v>
      </c>
      <c r="P41" s="411">
        <v>34</v>
      </c>
      <c r="Q41" s="406">
        <v>0</v>
      </c>
      <c r="R41" s="406"/>
      <c r="S41" s="406"/>
      <c r="T41" s="407"/>
      <c r="V41" s="412" t="s">
        <v>508</v>
      </c>
      <c r="W41" s="413" t="str">
        <f t="shared" ref="W41:Y72" si="6">IF(LEN(Q41)&gt;255," STOP 255 caractères maxi "&amp;(LEN(Q41)-255)&amp;" caractères de trop.","")</f>
        <v/>
      </c>
      <c r="X41" s="413" t="str">
        <f t="shared" si="6"/>
        <v/>
      </c>
      <c r="Y41" s="413" t="str">
        <f t="shared" si="6"/>
        <v/>
      </c>
      <c r="Z41" s="357">
        <v>17.25</v>
      </c>
    </row>
    <row r="42" spans="1:26" ht="17.25" customHeight="1">
      <c r="A42" s="351">
        <v>35</v>
      </c>
      <c r="B42" s="392">
        <f>IF(I7=0,0,I42/I7)</f>
        <v>0</v>
      </c>
      <c r="C42" s="393">
        <v>0</v>
      </c>
      <c r="D42" s="394">
        <v>0</v>
      </c>
      <c r="E42" s="395">
        <v>0</v>
      </c>
      <c r="F42" s="396">
        <v>0</v>
      </c>
      <c r="G42" s="397">
        <f t="shared" si="0"/>
        <v>0</v>
      </c>
      <c r="H42" s="398">
        <f t="shared" si="1"/>
        <v>0</v>
      </c>
      <c r="I42" s="399">
        <f t="shared" si="2"/>
        <v>0</v>
      </c>
      <c r="J42" s="400">
        <f>J7</f>
        <v>8</v>
      </c>
      <c r="K42" s="408">
        <f>K7</f>
        <v>20</v>
      </c>
      <c r="L42" s="409">
        <v>0</v>
      </c>
      <c r="M42" s="410">
        <f t="shared" si="3"/>
        <v>0</v>
      </c>
      <c r="N42" s="403">
        <v>1</v>
      </c>
      <c r="O42" s="404">
        <f t="shared" si="4"/>
        <v>0</v>
      </c>
      <c r="P42" s="411">
        <v>35</v>
      </c>
      <c r="Q42" s="406">
        <v>0</v>
      </c>
      <c r="R42" s="406"/>
      <c r="S42" s="406"/>
      <c r="T42" s="407"/>
      <c r="V42" s="412" t="s">
        <v>508</v>
      </c>
      <c r="W42" s="413" t="str">
        <f t="shared" si="6"/>
        <v/>
      </c>
      <c r="X42" s="413" t="str">
        <f t="shared" si="6"/>
        <v/>
      </c>
      <c r="Y42" s="413" t="str">
        <f t="shared" si="6"/>
        <v/>
      </c>
      <c r="Z42" s="357">
        <v>17.25</v>
      </c>
    </row>
    <row r="43" spans="1:26" ht="17.25" customHeight="1">
      <c r="A43" s="351">
        <v>36</v>
      </c>
      <c r="B43" s="392">
        <f>IF(I7=0,0,I43/I7)</f>
        <v>0</v>
      </c>
      <c r="C43" s="393">
        <v>0</v>
      </c>
      <c r="D43" s="394">
        <v>0</v>
      </c>
      <c r="E43" s="395">
        <v>0</v>
      </c>
      <c r="F43" s="396">
        <v>0</v>
      </c>
      <c r="G43" s="397">
        <f t="shared" si="0"/>
        <v>0</v>
      </c>
      <c r="H43" s="398">
        <f t="shared" si="1"/>
        <v>0</v>
      </c>
      <c r="I43" s="399">
        <f t="shared" si="2"/>
        <v>0</v>
      </c>
      <c r="J43" s="400">
        <f>J7</f>
        <v>8</v>
      </c>
      <c r="K43" s="408">
        <f>K7</f>
        <v>20</v>
      </c>
      <c r="L43" s="409">
        <v>0</v>
      </c>
      <c r="M43" s="410">
        <f t="shared" si="3"/>
        <v>0</v>
      </c>
      <c r="N43" s="403">
        <v>1</v>
      </c>
      <c r="O43" s="404">
        <f t="shared" si="4"/>
        <v>0</v>
      </c>
      <c r="P43" s="411">
        <v>36</v>
      </c>
      <c r="Q43" s="406">
        <v>0</v>
      </c>
      <c r="R43" s="406"/>
      <c r="S43" s="406"/>
      <c r="T43" s="407"/>
      <c r="V43" s="412" t="s">
        <v>508</v>
      </c>
      <c r="W43" s="413" t="str">
        <f t="shared" si="6"/>
        <v/>
      </c>
      <c r="X43" s="413" t="str">
        <f t="shared" si="6"/>
        <v/>
      </c>
      <c r="Y43" s="413" t="str">
        <f t="shared" si="6"/>
        <v/>
      </c>
      <c r="Z43" s="357">
        <v>17.25</v>
      </c>
    </row>
    <row r="44" spans="1:26" ht="17.25" customHeight="1">
      <c r="A44" s="351">
        <v>37</v>
      </c>
      <c r="B44" s="392">
        <f>IF(I7=0,0,I44/I7)</f>
        <v>0</v>
      </c>
      <c r="C44" s="393">
        <v>0</v>
      </c>
      <c r="D44" s="394">
        <v>0</v>
      </c>
      <c r="E44" s="395">
        <v>0</v>
      </c>
      <c r="F44" s="396">
        <v>0</v>
      </c>
      <c r="G44" s="397">
        <f t="shared" si="0"/>
        <v>0</v>
      </c>
      <c r="H44" s="398">
        <f t="shared" si="1"/>
        <v>0</v>
      </c>
      <c r="I44" s="399">
        <f t="shared" si="2"/>
        <v>0</v>
      </c>
      <c r="J44" s="400">
        <f>J7</f>
        <v>8</v>
      </c>
      <c r="K44" s="408">
        <f>K7</f>
        <v>20</v>
      </c>
      <c r="L44" s="409">
        <v>0</v>
      </c>
      <c r="M44" s="410">
        <f t="shared" si="3"/>
        <v>0</v>
      </c>
      <c r="N44" s="403">
        <v>1</v>
      </c>
      <c r="O44" s="404">
        <f t="shared" si="4"/>
        <v>0</v>
      </c>
      <c r="P44" s="411">
        <v>37</v>
      </c>
      <c r="Q44" s="406">
        <v>0</v>
      </c>
      <c r="R44" s="406"/>
      <c r="S44" s="406"/>
      <c r="T44" s="407"/>
      <c r="V44" s="412" t="s">
        <v>508</v>
      </c>
      <c r="W44" s="413" t="str">
        <f t="shared" si="6"/>
        <v/>
      </c>
      <c r="X44" s="413" t="str">
        <f t="shared" si="6"/>
        <v/>
      </c>
      <c r="Y44" s="413" t="str">
        <f t="shared" si="6"/>
        <v/>
      </c>
      <c r="Z44" s="357">
        <v>17.25</v>
      </c>
    </row>
    <row r="45" spans="1:26" ht="17.25" customHeight="1">
      <c r="A45" s="351">
        <v>38</v>
      </c>
      <c r="B45" s="392">
        <f>IF(I7=0,0,I45/I7)</f>
        <v>0</v>
      </c>
      <c r="C45" s="393">
        <v>0</v>
      </c>
      <c r="D45" s="394">
        <v>0</v>
      </c>
      <c r="E45" s="395">
        <v>0</v>
      </c>
      <c r="F45" s="396">
        <v>0</v>
      </c>
      <c r="G45" s="397">
        <f t="shared" si="0"/>
        <v>0</v>
      </c>
      <c r="H45" s="398">
        <f t="shared" si="1"/>
        <v>0</v>
      </c>
      <c r="I45" s="399">
        <f t="shared" si="2"/>
        <v>0</v>
      </c>
      <c r="J45" s="400">
        <f>J7</f>
        <v>8</v>
      </c>
      <c r="K45" s="408">
        <f>K7</f>
        <v>20</v>
      </c>
      <c r="L45" s="409">
        <v>0</v>
      </c>
      <c r="M45" s="410">
        <f t="shared" si="3"/>
        <v>0</v>
      </c>
      <c r="N45" s="403">
        <v>1</v>
      </c>
      <c r="O45" s="404">
        <f t="shared" si="4"/>
        <v>0</v>
      </c>
      <c r="P45" s="411">
        <v>38</v>
      </c>
      <c r="Q45" s="406">
        <v>0</v>
      </c>
      <c r="R45" s="406"/>
      <c r="S45" s="406"/>
      <c r="T45" s="407"/>
      <c r="V45" s="412" t="s">
        <v>508</v>
      </c>
      <c r="W45" s="413" t="str">
        <f t="shared" si="6"/>
        <v/>
      </c>
      <c r="X45" s="413" t="str">
        <f t="shared" si="6"/>
        <v/>
      </c>
      <c r="Y45" s="413" t="str">
        <f t="shared" si="6"/>
        <v/>
      </c>
      <c r="Z45" s="357">
        <v>17.25</v>
      </c>
    </row>
    <row r="46" spans="1:26" ht="17.25" customHeight="1">
      <c r="A46" s="351">
        <v>39</v>
      </c>
      <c r="B46" s="392">
        <f>IF(I7=0,0,I46/I7)</f>
        <v>0</v>
      </c>
      <c r="C46" s="393">
        <v>0</v>
      </c>
      <c r="D46" s="394">
        <v>0</v>
      </c>
      <c r="E46" s="395">
        <v>0</v>
      </c>
      <c r="F46" s="396">
        <v>0</v>
      </c>
      <c r="G46" s="397">
        <f t="shared" si="0"/>
        <v>0</v>
      </c>
      <c r="H46" s="398">
        <f t="shared" si="1"/>
        <v>0</v>
      </c>
      <c r="I46" s="399">
        <f t="shared" si="2"/>
        <v>0</v>
      </c>
      <c r="J46" s="400">
        <f>J7</f>
        <v>8</v>
      </c>
      <c r="K46" s="408">
        <f>K7</f>
        <v>20</v>
      </c>
      <c r="L46" s="409">
        <v>0</v>
      </c>
      <c r="M46" s="410">
        <f t="shared" si="3"/>
        <v>0</v>
      </c>
      <c r="N46" s="403">
        <v>1</v>
      </c>
      <c r="O46" s="404">
        <f t="shared" si="4"/>
        <v>0</v>
      </c>
      <c r="P46" s="411">
        <v>39</v>
      </c>
      <c r="Q46" s="406">
        <v>0</v>
      </c>
      <c r="R46" s="406"/>
      <c r="S46" s="406"/>
      <c r="T46" s="407"/>
      <c r="V46" s="412" t="s">
        <v>508</v>
      </c>
      <c r="W46" s="413" t="str">
        <f t="shared" si="6"/>
        <v/>
      </c>
      <c r="X46" s="413" t="str">
        <f t="shared" si="6"/>
        <v/>
      </c>
      <c r="Y46" s="413" t="str">
        <f t="shared" si="6"/>
        <v/>
      </c>
      <c r="Z46" s="357">
        <v>17.25</v>
      </c>
    </row>
    <row r="47" spans="1:26" ht="17.25" customHeight="1">
      <c r="A47" s="351">
        <v>40</v>
      </c>
      <c r="B47" s="392">
        <f>IF(I7=0,0,I47/I7)</f>
        <v>0</v>
      </c>
      <c r="C47" s="393">
        <v>0</v>
      </c>
      <c r="D47" s="394">
        <v>0</v>
      </c>
      <c r="E47" s="395">
        <v>0</v>
      </c>
      <c r="F47" s="396">
        <v>0</v>
      </c>
      <c r="G47" s="397">
        <f t="shared" si="0"/>
        <v>0</v>
      </c>
      <c r="H47" s="398">
        <f t="shared" si="1"/>
        <v>0</v>
      </c>
      <c r="I47" s="399">
        <f t="shared" si="2"/>
        <v>0</v>
      </c>
      <c r="J47" s="400">
        <f>J7</f>
        <v>8</v>
      </c>
      <c r="K47" s="408">
        <f>K7</f>
        <v>20</v>
      </c>
      <c r="L47" s="409">
        <v>0</v>
      </c>
      <c r="M47" s="410">
        <f t="shared" si="3"/>
        <v>0</v>
      </c>
      <c r="N47" s="403">
        <v>1</v>
      </c>
      <c r="O47" s="404">
        <f t="shared" si="4"/>
        <v>0</v>
      </c>
      <c r="P47" s="411">
        <v>40</v>
      </c>
      <c r="Q47" s="406">
        <v>0</v>
      </c>
      <c r="R47" s="406"/>
      <c r="S47" s="406"/>
      <c r="T47" s="407"/>
      <c r="V47" s="412" t="s">
        <v>508</v>
      </c>
      <c r="W47" s="413" t="str">
        <f t="shared" si="6"/>
        <v/>
      </c>
      <c r="X47" s="413" t="str">
        <f t="shared" si="6"/>
        <v/>
      </c>
      <c r="Y47" s="413" t="str">
        <f t="shared" si="6"/>
        <v/>
      </c>
      <c r="Z47" s="357">
        <v>17.25</v>
      </c>
    </row>
    <row r="48" spans="1:26" ht="17.25" customHeight="1">
      <c r="A48" s="351">
        <v>41</v>
      </c>
      <c r="B48" s="392">
        <f>IF(I7=0,0,I48/I7)</f>
        <v>0</v>
      </c>
      <c r="C48" s="393">
        <v>0</v>
      </c>
      <c r="D48" s="394">
        <v>0</v>
      </c>
      <c r="E48" s="395">
        <v>0</v>
      </c>
      <c r="F48" s="396">
        <v>0</v>
      </c>
      <c r="G48" s="397">
        <f t="shared" si="0"/>
        <v>0</v>
      </c>
      <c r="H48" s="398">
        <f t="shared" si="1"/>
        <v>0</v>
      </c>
      <c r="I48" s="399">
        <f t="shared" si="2"/>
        <v>0</v>
      </c>
      <c r="J48" s="400">
        <f>J7</f>
        <v>8</v>
      </c>
      <c r="K48" s="408">
        <f>K7</f>
        <v>20</v>
      </c>
      <c r="L48" s="409">
        <v>0</v>
      </c>
      <c r="M48" s="410">
        <f t="shared" si="3"/>
        <v>0</v>
      </c>
      <c r="N48" s="403">
        <v>1</v>
      </c>
      <c r="O48" s="404">
        <f t="shared" si="4"/>
        <v>0</v>
      </c>
      <c r="P48" s="411">
        <v>41</v>
      </c>
      <c r="Q48" s="406">
        <v>0</v>
      </c>
      <c r="R48" s="406"/>
      <c r="S48" s="406"/>
      <c r="T48" s="407"/>
      <c r="V48" s="412" t="s">
        <v>508</v>
      </c>
      <c r="W48" s="413" t="str">
        <f t="shared" si="6"/>
        <v/>
      </c>
      <c r="X48" s="413" t="str">
        <f t="shared" si="6"/>
        <v/>
      </c>
      <c r="Y48" s="413" t="str">
        <f t="shared" si="6"/>
        <v/>
      </c>
      <c r="Z48" s="357">
        <v>17.25</v>
      </c>
    </row>
    <row r="49" spans="1:26" ht="17.25" customHeight="1">
      <c r="A49" s="351">
        <v>42</v>
      </c>
      <c r="B49" s="392">
        <f>IF(I7=0,0,I49/I7)</f>
        <v>0</v>
      </c>
      <c r="C49" s="393">
        <v>0</v>
      </c>
      <c r="D49" s="394">
        <v>0</v>
      </c>
      <c r="E49" s="395">
        <v>0</v>
      </c>
      <c r="F49" s="396">
        <v>0</v>
      </c>
      <c r="G49" s="397">
        <f t="shared" si="0"/>
        <v>0</v>
      </c>
      <c r="H49" s="398">
        <f t="shared" si="1"/>
        <v>0</v>
      </c>
      <c r="I49" s="399">
        <f t="shared" si="2"/>
        <v>0</v>
      </c>
      <c r="J49" s="400">
        <f>J7</f>
        <v>8</v>
      </c>
      <c r="K49" s="408">
        <f>K7</f>
        <v>20</v>
      </c>
      <c r="L49" s="409">
        <v>0</v>
      </c>
      <c r="M49" s="410">
        <f t="shared" si="3"/>
        <v>0</v>
      </c>
      <c r="N49" s="403">
        <v>1</v>
      </c>
      <c r="O49" s="404">
        <f t="shared" si="4"/>
        <v>0</v>
      </c>
      <c r="P49" s="411">
        <v>42</v>
      </c>
      <c r="Q49" s="406">
        <v>0</v>
      </c>
      <c r="R49" s="406"/>
      <c r="S49" s="406"/>
      <c r="T49" s="407"/>
      <c r="V49" s="412" t="s">
        <v>508</v>
      </c>
      <c r="W49" s="413" t="str">
        <f t="shared" si="6"/>
        <v/>
      </c>
      <c r="X49" s="413" t="str">
        <f t="shared" si="6"/>
        <v/>
      </c>
      <c r="Y49" s="413" t="str">
        <f t="shared" si="6"/>
        <v/>
      </c>
      <c r="Z49" s="357">
        <v>17.25</v>
      </c>
    </row>
    <row r="50" spans="1:26" ht="17.25" customHeight="1">
      <c r="A50" s="351">
        <v>43</v>
      </c>
      <c r="B50" s="392">
        <f>IF(I7=0,0,I50/I7)</f>
        <v>0</v>
      </c>
      <c r="C50" s="393">
        <v>0</v>
      </c>
      <c r="D50" s="394">
        <v>0</v>
      </c>
      <c r="E50" s="395">
        <v>0</v>
      </c>
      <c r="F50" s="396">
        <v>0</v>
      </c>
      <c r="G50" s="397">
        <f t="shared" si="0"/>
        <v>0</v>
      </c>
      <c r="H50" s="398">
        <f t="shared" si="1"/>
        <v>0</v>
      </c>
      <c r="I50" s="399">
        <f t="shared" si="2"/>
        <v>0</v>
      </c>
      <c r="J50" s="400">
        <f>J7</f>
        <v>8</v>
      </c>
      <c r="K50" s="408">
        <f>K7</f>
        <v>20</v>
      </c>
      <c r="L50" s="409">
        <v>0</v>
      </c>
      <c r="M50" s="410">
        <f t="shared" si="3"/>
        <v>0</v>
      </c>
      <c r="N50" s="403">
        <v>1</v>
      </c>
      <c r="O50" s="404">
        <f t="shared" si="4"/>
        <v>0</v>
      </c>
      <c r="P50" s="411">
        <v>43</v>
      </c>
      <c r="Q50" s="406">
        <v>0</v>
      </c>
      <c r="R50" s="406"/>
      <c r="S50" s="406"/>
      <c r="T50" s="407"/>
      <c r="V50" s="412" t="s">
        <v>508</v>
      </c>
      <c r="W50" s="413" t="str">
        <f t="shared" si="6"/>
        <v/>
      </c>
      <c r="X50" s="413" t="str">
        <f t="shared" si="6"/>
        <v/>
      </c>
      <c r="Y50" s="413" t="str">
        <f t="shared" si="6"/>
        <v/>
      </c>
      <c r="Z50" s="357">
        <v>17.25</v>
      </c>
    </row>
    <row r="51" spans="1:26" ht="17.25" customHeight="1">
      <c r="A51" s="351">
        <v>44</v>
      </c>
      <c r="B51" s="392">
        <f>IF(I7=0,0,I51/I7)</f>
        <v>0</v>
      </c>
      <c r="C51" s="393">
        <v>0</v>
      </c>
      <c r="D51" s="394">
        <v>0</v>
      </c>
      <c r="E51" s="395">
        <v>0</v>
      </c>
      <c r="F51" s="396">
        <v>0</v>
      </c>
      <c r="G51" s="397">
        <f t="shared" si="0"/>
        <v>0</v>
      </c>
      <c r="H51" s="398">
        <f t="shared" si="1"/>
        <v>0</v>
      </c>
      <c r="I51" s="399">
        <f t="shared" si="2"/>
        <v>0</v>
      </c>
      <c r="J51" s="400">
        <f>J7</f>
        <v>8</v>
      </c>
      <c r="K51" s="408">
        <f>K7</f>
        <v>20</v>
      </c>
      <c r="L51" s="409">
        <v>0</v>
      </c>
      <c r="M51" s="410">
        <f t="shared" si="3"/>
        <v>0</v>
      </c>
      <c r="N51" s="403">
        <v>1</v>
      </c>
      <c r="O51" s="404">
        <f t="shared" si="4"/>
        <v>0</v>
      </c>
      <c r="P51" s="411">
        <v>44</v>
      </c>
      <c r="Q51" s="406">
        <v>0</v>
      </c>
      <c r="R51" s="406"/>
      <c r="S51" s="406"/>
      <c r="T51" s="407"/>
      <c r="V51" s="412" t="s">
        <v>508</v>
      </c>
      <c r="W51" s="413" t="str">
        <f t="shared" si="6"/>
        <v/>
      </c>
      <c r="X51" s="413" t="str">
        <f t="shared" si="6"/>
        <v/>
      </c>
      <c r="Y51" s="413" t="str">
        <f t="shared" si="6"/>
        <v/>
      </c>
      <c r="Z51" s="357">
        <v>17.25</v>
      </c>
    </row>
    <row r="52" spans="1:26" ht="17.25" customHeight="1">
      <c r="A52" s="351">
        <v>45</v>
      </c>
      <c r="B52" s="392">
        <f>IF(I7=0,0,I52/I7)</f>
        <v>0</v>
      </c>
      <c r="C52" s="393">
        <v>0</v>
      </c>
      <c r="D52" s="394">
        <v>0</v>
      </c>
      <c r="E52" s="395">
        <v>0</v>
      </c>
      <c r="F52" s="396">
        <v>0</v>
      </c>
      <c r="G52" s="397">
        <f t="shared" si="0"/>
        <v>0</v>
      </c>
      <c r="H52" s="398">
        <f t="shared" si="1"/>
        <v>0</v>
      </c>
      <c r="I52" s="399">
        <f t="shared" si="2"/>
        <v>0</v>
      </c>
      <c r="J52" s="400">
        <f>J7</f>
        <v>8</v>
      </c>
      <c r="K52" s="408">
        <f>K7</f>
        <v>20</v>
      </c>
      <c r="L52" s="409">
        <v>0</v>
      </c>
      <c r="M52" s="410">
        <f t="shared" si="3"/>
        <v>0</v>
      </c>
      <c r="N52" s="403">
        <v>1</v>
      </c>
      <c r="O52" s="404">
        <f t="shared" si="4"/>
        <v>0</v>
      </c>
      <c r="P52" s="411">
        <v>45</v>
      </c>
      <c r="Q52" s="406">
        <v>0</v>
      </c>
      <c r="R52" s="406"/>
      <c r="S52" s="406"/>
      <c r="T52" s="407"/>
      <c r="V52" s="412" t="s">
        <v>508</v>
      </c>
      <c r="W52" s="413" t="str">
        <f t="shared" si="6"/>
        <v/>
      </c>
      <c r="X52" s="413" t="str">
        <f t="shared" si="6"/>
        <v/>
      </c>
      <c r="Y52" s="413" t="str">
        <f t="shared" si="6"/>
        <v/>
      </c>
      <c r="Z52" s="357">
        <v>17.25</v>
      </c>
    </row>
    <row r="53" spans="1:26" ht="17.25" customHeight="1">
      <c r="A53" s="351">
        <v>46</v>
      </c>
      <c r="B53" s="392">
        <f>IF(I7=0,0,I53/I7)</f>
        <v>0</v>
      </c>
      <c r="C53" s="393">
        <v>0</v>
      </c>
      <c r="D53" s="394">
        <v>0</v>
      </c>
      <c r="E53" s="395">
        <v>0</v>
      </c>
      <c r="F53" s="396">
        <v>0</v>
      </c>
      <c r="G53" s="397">
        <f t="shared" si="0"/>
        <v>0</v>
      </c>
      <c r="H53" s="398">
        <f t="shared" si="1"/>
        <v>0</v>
      </c>
      <c r="I53" s="399">
        <f t="shared" si="2"/>
        <v>0</v>
      </c>
      <c r="J53" s="400">
        <f>J7</f>
        <v>8</v>
      </c>
      <c r="K53" s="408">
        <f>K7</f>
        <v>20</v>
      </c>
      <c r="L53" s="409">
        <v>0</v>
      </c>
      <c r="M53" s="410">
        <f t="shared" si="3"/>
        <v>0</v>
      </c>
      <c r="N53" s="403">
        <v>1</v>
      </c>
      <c r="O53" s="404">
        <f t="shared" si="4"/>
        <v>0</v>
      </c>
      <c r="P53" s="411">
        <v>46</v>
      </c>
      <c r="Q53" s="406">
        <v>0</v>
      </c>
      <c r="R53" s="406"/>
      <c r="S53" s="406"/>
      <c r="T53" s="407"/>
      <c r="V53" s="412" t="s">
        <v>508</v>
      </c>
      <c r="W53" s="413" t="str">
        <f t="shared" si="6"/>
        <v/>
      </c>
      <c r="X53" s="413" t="str">
        <f t="shared" si="6"/>
        <v/>
      </c>
      <c r="Y53" s="413" t="str">
        <f t="shared" si="6"/>
        <v/>
      </c>
      <c r="Z53" s="357">
        <v>17.25</v>
      </c>
    </row>
    <row r="54" spans="1:26" ht="17.25" customHeight="1">
      <c r="A54" s="351">
        <v>47</v>
      </c>
      <c r="B54" s="392">
        <f>IF(I7=0,0,I54/I7)</f>
        <v>0</v>
      </c>
      <c r="C54" s="393">
        <v>0</v>
      </c>
      <c r="D54" s="394">
        <v>0</v>
      </c>
      <c r="E54" s="395">
        <v>0</v>
      </c>
      <c r="F54" s="396">
        <v>0</v>
      </c>
      <c r="G54" s="397">
        <f t="shared" si="0"/>
        <v>0</v>
      </c>
      <c r="H54" s="398">
        <f t="shared" si="1"/>
        <v>0</v>
      </c>
      <c r="I54" s="399">
        <f t="shared" si="2"/>
        <v>0</v>
      </c>
      <c r="J54" s="400">
        <f>J7</f>
        <v>8</v>
      </c>
      <c r="K54" s="408">
        <f>K7</f>
        <v>20</v>
      </c>
      <c r="L54" s="409">
        <v>0</v>
      </c>
      <c r="M54" s="410">
        <f t="shared" si="3"/>
        <v>0</v>
      </c>
      <c r="N54" s="403">
        <v>1</v>
      </c>
      <c r="O54" s="404">
        <f t="shared" si="4"/>
        <v>0</v>
      </c>
      <c r="P54" s="411">
        <v>47</v>
      </c>
      <c r="Q54" s="406">
        <v>0</v>
      </c>
      <c r="R54" s="406"/>
      <c r="S54" s="406"/>
      <c r="T54" s="407"/>
      <c r="V54" s="412" t="s">
        <v>508</v>
      </c>
      <c r="W54" s="413" t="str">
        <f t="shared" si="6"/>
        <v/>
      </c>
      <c r="X54" s="413" t="str">
        <f t="shared" si="6"/>
        <v/>
      </c>
      <c r="Y54" s="413" t="str">
        <f t="shared" si="6"/>
        <v/>
      </c>
      <c r="Z54" s="357">
        <v>17.25</v>
      </c>
    </row>
    <row r="55" spans="1:26" ht="17.25" customHeight="1">
      <c r="A55" s="351">
        <v>48</v>
      </c>
      <c r="B55" s="392">
        <f>IF(I7=0,0,I55/I7)</f>
        <v>0</v>
      </c>
      <c r="C55" s="393">
        <v>0</v>
      </c>
      <c r="D55" s="394">
        <v>0</v>
      </c>
      <c r="E55" s="395">
        <v>0</v>
      </c>
      <c r="F55" s="396">
        <v>0</v>
      </c>
      <c r="G55" s="397">
        <f t="shared" si="0"/>
        <v>0</v>
      </c>
      <c r="H55" s="398">
        <f t="shared" si="1"/>
        <v>0</v>
      </c>
      <c r="I55" s="399">
        <f t="shared" si="2"/>
        <v>0</v>
      </c>
      <c r="J55" s="400">
        <f>J7</f>
        <v>8</v>
      </c>
      <c r="K55" s="408">
        <f>K7</f>
        <v>20</v>
      </c>
      <c r="L55" s="409">
        <v>0</v>
      </c>
      <c r="M55" s="410">
        <f t="shared" si="3"/>
        <v>0</v>
      </c>
      <c r="N55" s="403">
        <v>1</v>
      </c>
      <c r="O55" s="404">
        <f t="shared" si="4"/>
        <v>0</v>
      </c>
      <c r="P55" s="411">
        <v>48</v>
      </c>
      <c r="Q55" s="406">
        <v>0</v>
      </c>
      <c r="R55" s="406"/>
      <c r="S55" s="406"/>
      <c r="T55" s="407"/>
      <c r="V55" s="412" t="s">
        <v>508</v>
      </c>
      <c r="W55" s="413" t="str">
        <f t="shared" si="6"/>
        <v/>
      </c>
      <c r="X55" s="413" t="str">
        <f t="shared" si="6"/>
        <v/>
      </c>
      <c r="Y55" s="413" t="str">
        <f t="shared" si="6"/>
        <v/>
      </c>
      <c r="Z55" s="357">
        <v>17.25</v>
      </c>
    </row>
    <row r="56" spans="1:26" ht="17.25" customHeight="1">
      <c r="A56" s="351">
        <v>49</v>
      </c>
      <c r="B56" s="392">
        <f>IF(I7=0,0,I56/I7)</f>
        <v>0</v>
      </c>
      <c r="C56" s="393">
        <v>0</v>
      </c>
      <c r="D56" s="394">
        <v>0</v>
      </c>
      <c r="E56" s="395">
        <v>0</v>
      </c>
      <c r="F56" s="396">
        <v>0</v>
      </c>
      <c r="G56" s="397">
        <f t="shared" si="0"/>
        <v>0</v>
      </c>
      <c r="H56" s="398">
        <f t="shared" si="1"/>
        <v>0</v>
      </c>
      <c r="I56" s="399">
        <f t="shared" si="2"/>
        <v>0</v>
      </c>
      <c r="J56" s="400">
        <f>J7</f>
        <v>8</v>
      </c>
      <c r="K56" s="408">
        <f>K7</f>
        <v>20</v>
      </c>
      <c r="L56" s="409">
        <v>0</v>
      </c>
      <c r="M56" s="410">
        <f t="shared" si="3"/>
        <v>0</v>
      </c>
      <c r="N56" s="403">
        <v>1</v>
      </c>
      <c r="O56" s="404">
        <f t="shared" si="4"/>
        <v>0</v>
      </c>
      <c r="P56" s="411">
        <v>49</v>
      </c>
      <c r="Q56" s="406">
        <v>0</v>
      </c>
      <c r="R56" s="406"/>
      <c r="S56" s="406"/>
      <c r="T56" s="407"/>
      <c r="V56" s="412" t="s">
        <v>508</v>
      </c>
      <c r="W56" s="413" t="str">
        <f t="shared" si="6"/>
        <v/>
      </c>
      <c r="X56" s="413" t="str">
        <f t="shared" si="6"/>
        <v/>
      </c>
      <c r="Y56" s="413" t="str">
        <f t="shared" si="6"/>
        <v/>
      </c>
      <c r="Z56" s="357">
        <v>17.25</v>
      </c>
    </row>
    <row r="57" spans="1:26" ht="17.25" customHeight="1">
      <c r="A57" s="351">
        <v>50</v>
      </c>
      <c r="B57" s="392">
        <f>IF(I7=0,0,I57/I7)</f>
        <v>0</v>
      </c>
      <c r="C57" s="393">
        <v>0</v>
      </c>
      <c r="D57" s="394">
        <v>0</v>
      </c>
      <c r="E57" s="395">
        <v>0</v>
      </c>
      <c r="F57" s="396">
        <v>0</v>
      </c>
      <c r="G57" s="397">
        <f t="shared" si="0"/>
        <v>0</v>
      </c>
      <c r="H57" s="398">
        <f t="shared" si="1"/>
        <v>0</v>
      </c>
      <c r="I57" s="399">
        <f t="shared" si="2"/>
        <v>0</v>
      </c>
      <c r="J57" s="400">
        <f>J7</f>
        <v>8</v>
      </c>
      <c r="K57" s="408">
        <f>K7</f>
        <v>20</v>
      </c>
      <c r="L57" s="409">
        <v>0</v>
      </c>
      <c r="M57" s="410">
        <f t="shared" si="3"/>
        <v>0</v>
      </c>
      <c r="N57" s="403">
        <v>1</v>
      </c>
      <c r="O57" s="404">
        <f t="shared" si="4"/>
        <v>0</v>
      </c>
      <c r="P57" s="411">
        <v>50</v>
      </c>
      <c r="Q57" s="406">
        <v>0</v>
      </c>
      <c r="R57" s="406"/>
      <c r="S57" s="406"/>
      <c r="T57" s="407"/>
      <c r="V57" s="412" t="s">
        <v>508</v>
      </c>
      <c r="W57" s="413" t="str">
        <f t="shared" si="6"/>
        <v/>
      </c>
      <c r="X57" s="413" t="str">
        <f t="shared" si="6"/>
        <v/>
      </c>
      <c r="Y57" s="413" t="str">
        <f t="shared" si="6"/>
        <v/>
      </c>
      <c r="Z57" s="357">
        <v>17.25</v>
      </c>
    </row>
    <row r="58" spans="1:26" ht="17.25" customHeight="1">
      <c r="A58" s="351">
        <v>51</v>
      </c>
      <c r="B58" s="392">
        <f>IF(I7=0,0,I58/I7)</f>
        <v>0</v>
      </c>
      <c r="C58" s="393">
        <v>0</v>
      </c>
      <c r="D58" s="394">
        <v>0</v>
      </c>
      <c r="E58" s="395">
        <v>0</v>
      </c>
      <c r="F58" s="396">
        <v>0</v>
      </c>
      <c r="G58" s="397">
        <f t="shared" si="0"/>
        <v>0</v>
      </c>
      <c r="H58" s="398">
        <f t="shared" si="1"/>
        <v>0</v>
      </c>
      <c r="I58" s="399">
        <f t="shared" si="2"/>
        <v>0</v>
      </c>
      <c r="J58" s="400">
        <f>J7</f>
        <v>8</v>
      </c>
      <c r="K58" s="408">
        <f>K7</f>
        <v>20</v>
      </c>
      <c r="L58" s="409">
        <v>0</v>
      </c>
      <c r="M58" s="410">
        <f t="shared" si="3"/>
        <v>0</v>
      </c>
      <c r="N58" s="403">
        <v>1</v>
      </c>
      <c r="O58" s="404">
        <f t="shared" si="4"/>
        <v>0</v>
      </c>
      <c r="P58" s="411">
        <v>51</v>
      </c>
      <c r="Q58" s="406">
        <v>0</v>
      </c>
      <c r="R58" s="406"/>
      <c r="S58" s="406"/>
      <c r="T58" s="407"/>
      <c r="V58" s="412" t="s">
        <v>508</v>
      </c>
      <c r="W58" s="413" t="str">
        <f t="shared" si="6"/>
        <v/>
      </c>
      <c r="X58" s="413" t="str">
        <f t="shared" si="6"/>
        <v/>
      </c>
      <c r="Y58" s="413" t="str">
        <f t="shared" si="6"/>
        <v/>
      </c>
      <c r="Z58" s="357">
        <v>17.25</v>
      </c>
    </row>
    <row r="59" spans="1:26" ht="17.25" customHeight="1">
      <c r="A59" s="351">
        <v>52</v>
      </c>
      <c r="B59" s="392">
        <f>IF(I7=0,0,I59/I7)</f>
        <v>0</v>
      </c>
      <c r="C59" s="393">
        <v>0</v>
      </c>
      <c r="D59" s="394">
        <v>0</v>
      </c>
      <c r="E59" s="395">
        <v>0</v>
      </c>
      <c r="F59" s="396">
        <v>0</v>
      </c>
      <c r="G59" s="397">
        <f t="shared" si="0"/>
        <v>0</v>
      </c>
      <c r="H59" s="398">
        <f t="shared" si="1"/>
        <v>0</v>
      </c>
      <c r="I59" s="399">
        <f t="shared" si="2"/>
        <v>0</v>
      </c>
      <c r="J59" s="400">
        <f>J7</f>
        <v>8</v>
      </c>
      <c r="K59" s="408">
        <f>K7</f>
        <v>20</v>
      </c>
      <c r="L59" s="409">
        <v>0</v>
      </c>
      <c r="M59" s="410">
        <f t="shared" si="3"/>
        <v>0</v>
      </c>
      <c r="N59" s="403">
        <v>1</v>
      </c>
      <c r="O59" s="404">
        <f t="shared" si="4"/>
        <v>0</v>
      </c>
      <c r="P59" s="411">
        <v>52</v>
      </c>
      <c r="Q59" s="406">
        <v>0</v>
      </c>
      <c r="R59" s="406"/>
      <c r="S59" s="406"/>
      <c r="T59" s="407"/>
      <c r="V59" s="412" t="s">
        <v>508</v>
      </c>
      <c r="W59" s="413" t="str">
        <f t="shared" si="6"/>
        <v/>
      </c>
      <c r="X59" s="413" t="str">
        <f t="shared" si="6"/>
        <v/>
      </c>
      <c r="Y59" s="413" t="str">
        <f t="shared" si="6"/>
        <v/>
      </c>
      <c r="Z59" s="357">
        <v>17.25</v>
      </c>
    </row>
    <row r="60" spans="1:26" ht="17.25" customHeight="1">
      <c r="A60" s="351">
        <v>53</v>
      </c>
      <c r="B60" s="392">
        <f>IF(I7=0,0,I60/I7)</f>
        <v>0</v>
      </c>
      <c r="C60" s="393">
        <v>0</v>
      </c>
      <c r="D60" s="394">
        <v>0</v>
      </c>
      <c r="E60" s="395">
        <v>0</v>
      </c>
      <c r="F60" s="396">
        <v>0</v>
      </c>
      <c r="G60" s="397">
        <f t="shared" si="0"/>
        <v>0</v>
      </c>
      <c r="H60" s="398">
        <f t="shared" si="1"/>
        <v>0</v>
      </c>
      <c r="I60" s="399">
        <f t="shared" si="2"/>
        <v>0</v>
      </c>
      <c r="J60" s="400">
        <f>J7</f>
        <v>8</v>
      </c>
      <c r="K60" s="408">
        <f>K7</f>
        <v>20</v>
      </c>
      <c r="L60" s="409">
        <v>0</v>
      </c>
      <c r="M60" s="410">
        <f t="shared" si="3"/>
        <v>0</v>
      </c>
      <c r="N60" s="403">
        <v>1</v>
      </c>
      <c r="O60" s="404">
        <f t="shared" si="4"/>
        <v>0</v>
      </c>
      <c r="P60" s="411">
        <v>53</v>
      </c>
      <c r="Q60" s="406">
        <v>0</v>
      </c>
      <c r="R60" s="406"/>
      <c r="S60" s="406"/>
      <c r="T60" s="407"/>
      <c r="V60" s="412" t="s">
        <v>508</v>
      </c>
      <c r="W60" s="413" t="str">
        <f t="shared" si="6"/>
        <v/>
      </c>
      <c r="X60" s="413" t="str">
        <f t="shared" si="6"/>
        <v/>
      </c>
      <c r="Y60" s="413" t="str">
        <f t="shared" si="6"/>
        <v/>
      </c>
      <c r="Z60" s="357">
        <v>17.25</v>
      </c>
    </row>
    <row r="61" spans="1:26" ht="17.25" customHeight="1">
      <c r="A61" s="351">
        <v>54</v>
      </c>
      <c r="B61" s="392">
        <f>IF(I7=0,0,I61/I7)</f>
        <v>0</v>
      </c>
      <c r="C61" s="393">
        <v>0</v>
      </c>
      <c r="D61" s="394">
        <v>0</v>
      </c>
      <c r="E61" s="395">
        <v>0</v>
      </c>
      <c r="F61" s="396">
        <v>0</v>
      </c>
      <c r="G61" s="397">
        <f t="shared" si="0"/>
        <v>0</v>
      </c>
      <c r="H61" s="398">
        <f t="shared" si="1"/>
        <v>0</v>
      </c>
      <c r="I61" s="399">
        <f t="shared" si="2"/>
        <v>0</v>
      </c>
      <c r="J61" s="400">
        <f>J7</f>
        <v>8</v>
      </c>
      <c r="K61" s="408">
        <f>K7</f>
        <v>20</v>
      </c>
      <c r="L61" s="409">
        <v>0</v>
      </c>
      <c r="M61" s="410">
        <f t="shared" si="3"/>
        <v>0</v>
      </c>
      <c r="N61" s="403">
        <v>1</v>
      </c>
      <c r="O61" s="404">
        <f t="shared" si="4"/>
        <v>0</v>
      </c>
      <c r="P61" s="411">
        <v>54</v>
      </c>
      <c r="Q61" s="406">
        <v>0</v>
      </c>
      <c r="R61" s="406"/>
      <c r="S61" s="406"/>
      <c r="T61" s="407"/>
      <c r="V61" s="412" t="s">
        <v>508</v>
      </c>
      <c r="W61" s="413" t="str">
        <f t="shared" si="6"/>
        <v/>
      </c>
      <c r="X61" s="413" t="str">
        <f t="shared" si="6"/>
        <v/>
      </c>
      <c r="Y61" s="413" t="str">
        <f t="shared" si="6"/>
        <v/>
      </c>
      <c r="Z61" s="357">
        <v>17.25</v>
      </c>
    </row>
    <row r="62" spans="1:26" ht="17.25" customHeight="1">
      <c r="A62" s="351">
        <v>55</v>
      </c>
      <c r="B62" s="392">
        <f>IF(I7=0,0,I62/I7)</f>
        <v>0</v>
      </c>
      <c r="C62" s="393">
        <v>0</v>
      </c>
      <c r="D62" s="394">
        <v>0</v>
      </c>
      <c r="E62" s="395">
        <v>0</v>
      </c>
      <c r="F62" s="396">
        <v>0</v>
      </c>
      <c r="G62" s="397">
        <f t="shared" si="0"/>
        <v>0</v>
      </c>
      <c r="H62" s="398">
        <f t="shared" si="1"/>
        <v>0</v>
      </c>
      <c r="I62" s="399">
        <f t="shared" si="2"/>
        <v>0</v>
      </c>
      <c r="J62" s="400">
        <f>J7</f>
        <v>8</v>
      </c>
      <c r="K62" s="408">
        <f>K7</f>
        <v>20</v>
      </c>
      <c r="L62" s="409">
        <v>0</v>
      </c>
      <c r="M62" s="410">
        <f t="shared" si="3"/>
        <v>0</v>
      </c>
      <c r="N62" s="403">
        <v>1</v>
      </c>
      <c r="O62" s="404">
        <f t="shared" si="4"/>
        <v>0</v>
      </c>
      <c r="P62" s="411">
        <v>55</v>
      </c>
      <c r="Q62" s="406">
        <v>0</v>
      </c>
      <c r="R62" s="406"/>
      <c r="S62" s="406"/>
      <c r="T62" s="407"/>
      <c r="V62" s="412" t="s">
        <v>508</v>
      </c>
      <c r="W62" s="413" t="str">
        <f t="shared" si="6"/>
        <v/>
      </c>
      <c r="X62" s="413" t="str">
        <f t="shared" si="6"/>
        <v/>
      </c>
      <c r="Y62" s="413" t="str">
        <f t="shared" si="6"/>
        <v/>
      </c>
      <c r="Z62" s="357">
        <v>17.25</v>
      </c>
    </row>
    <row r="63" spans="1:26" ht="17.25" customHeight="1">
      <c r="A63" s="351">
        <v>56</v>
      </c>
      <c r="B63" s="392">
        <f>IF(I7=0,0,I63/I7)</f>
        <v>0</v>
      </c>
      <c r="C63" s="393">
        <v>0</v>
      </c>
      <c r="D63" s="394">
        <v>0</v>
      </c>
      <c r="E63" s="395">
        <v>0</v>
      </c>
      <c r="F63" s="396">
        <v>0</v>
      </c>
      <c r="G63" s="397">
        <f t="shared" si="0"/>
        <v>0</v>
      </c>
      <c r="H63" s="398">
        <f t="shared" si="1"/>
        <v>0</v>
      </c>
      <c r="I63" s="399">
        <f t="shared" si="2"/>
        <v>0</v>
      </c>
      <c r="J63" s="400">
        <f>J7</f>
        <v>8</v>
      </c>
      <c r="K63" s="408">
        <f>K7</f>
        <v>20</v>
      </c>
      <c r="L63" s="409">
        <v>0</v>
      </c>
      <c r="M63" s="410">
        <f t="shared" si="3"/>
        <v>0</v>
      </c>
      <c r="N63" s="403">
        <v>1</v>
      </c>
      <c r="O63" s="404">
        <f t="shared" si="4"/>
        <v>0</v>
      </c>
      <c r="P63" s="411">
        <v>56</v>
      </c>
      <c r="Q63" s="406">
        <v>0</v>
      </c>
      <c r="R63" s="406"/>
      <c r="S63" s="406"/>
      <c r="T63" s="407"/>
      <c r="V63" s="412" t="s">
        <v>508</v>
      </c>
      <c r="W63" s="413" t="str">
        <f t="shared" si="6"/>
        <v/>
      </c>
      <c r="X63" s="413" t="str">
        <f t="shared" si="6"/>
        <v/>
      </c>
      <c r="Y63" s="413" t="str">
        <f t="shared" si="6"/>
        <v/>
      </c>
      <c r="Z63" s="357">
        <v>17.25</v>
      </c>
    </row>
    <row r="64" spans="1:26" ht="17.25" customHeight="1">
      <c r="A64" s="351">
        <v>57</v>
      </c>
      <c r="B64" s="392">
        <f>IF(I7=0,0,I64/I7)</f>
        <v>0</v>
      </c>
      <c r="C64" s="393">
        <v>0</v>
      </c>
      <c r="D64" s="394">
        <v>0</v>
      </c>
      <c r="E64" s="395">
        <v>0</v>
      </c>
      <c r="F64" s="396">
        <v>0</v>
      </c>
      <c r="G64" s="397">
        <f t="shared" si="0"/>
        <v>0</v>
      </c>
      <c r="H64" s="398">
        <f t="shared" si="1"/>
        <v>0</v>
      </c>
      <c r="I64" s="399">
        <f t="shared" si="2"/>
        <v>0</v>
      </c>
      <c r="J64" s="400">
        <f>J7</f>
        <v>8</v>
      </c>
      <c r="K64" s="408">
        <f>K7</f>
        <v>20</v>
      </c>
      <c r="L64" s="409">
        <v>0</v>
      </c>
      <c r="M64" s="410">
        <f t="shared" si="3"/>
        <v>0</v>
      </c>
      <c r="N64" s="403">
        <v>1</v>
      </c>
      <c r="O64" s="404">
        <f t="shared" si="4"/>
        <v>0</v>
      </c>
      <c r="P64" s="411">
        <v>57</v>
      </c>
      <c r="Q64" s="406">
        <v>0</v>
      </c>
      <c r="R64" s="406"/>
      <c r="S64" s="406"/>
      <c r="T64" s="407"/>
      <c r="V64" s="412" t="s">
        <v>508</v>
      </c>
      <c r="W64" s="413" t="str">
        <f t="shared" si="6"/>
        <v/>
      </c>
      <c r="X64" s="413" t="str">
        <f t="shared" si="6"/>
        <v/>
      </c>
      <c r="Y64" s="413" t="str">
        <f t="shared" si="6"/>
        <v/>
      </c>
      <c r="Z64" s="357">
        <v>17.25</v>
      </c>
    </row>
    <row r="65" spans="1:26" ht="17.25" customHeight="1">
      <c r="A65" s="351">
        <v>58</v>
      </c>
      <c r="B65" s="392">
        <f>IF(I7=0,0,I65/I7)</f>
        <v>0</v>
      </c>
      <c r="C65" s="393">
        <v>0</v>
      </c>
      <c r="D65" s="394">
        <v>0</v>
      </c>
      <c r="E65" s="395">
        <v>0</v>
      </c>
      <c r="F65" s="396">
        <v>0</v>
      </c>
      <c r="G65" s="397">
        <f t="shared" si="0"/>
        <v>0</v>
      </c>
      <c r="H65" s="398">
        <f t="shared" si="1"/>
        <v>0</v>
      </c>
      <c r="I65" s="399">
        <f t="shared" si="2"/>
        <v>0</v>
      </c>
      <c r="J65" s="400">
        <f>J7</f>
        <v>8</v>
      </c>
      <c r="K65" s="408">
        <f>K7</f>
        <v>20</v>
      </c>
      <c r="L65" s="409">
        <v>0</v>
      </c>
      <c r="M65" s="410">
        <f t="shared" si="3"/>
        <v>0</v>
      </c>
      <c r="N65" s="403">
        <v>1</v>
      </c>
      <c r="O65" s="404">
        <f t="shared" si="4"/>
        <v>0</v>
      </c>
      <c r="P65" s="411">
        <v>58</v>
      </c>
      <c r="Q65" s="406">
        <v>0</v>
      </c>
      <c r="R65" s="406"/>
      <c r="S65" s="406"/>
      <c r="T65" s="407"/>
      <c r="V65" s="412" t="s">
        <v>508</v>
      </c>
      <c r="W65" s="413" t="str">
        <f t="shared" si="6"/>
        <v/>
      </c>
      <c r="X65" s="413" t="str">
        <f t="shared" si="6"/>
        <v/>
      </c>
      <c r="Y65" s="413" t="str">
        <f t="shared" si="6"/>
        <v/>
      </c>
      <c r="Z65" s="357">
        <v>17.25</v>
      </c>
    </row>
    <row r="66" spans="1:26" ht="17.25" customHeight="1">
      <c r="A66" s="351">
        <v>59</v>
      </c>
      <c r="B66" s="392">
        <f>IF(I7=0,0,I66/I7)</f>
        <v>0</v>
      </c>
      <c r="C66" s="393">
        <v>0</v>
      </c>
      <c r="D66" s="394">
        <v>0</v>
      </c>
      <c r="E66" s="395">
        <v>0</v>
      </c>
      <c r="F66" s="396">
        <v>0</v>
      </c>
      <c r="G66" s="397">
        <f t="shared" si="0"/>
        <v>0</v>
      </c>
      <c r="H66" s="398">
        <f t="shared" si="1"/>
        <v>0</v>
      </c>
      <c r="I66" s="399">
        <f t="shared" si="2"/>
        <v>0</v>
      </c>
      <c r="J66" s="400">
        <f>J7</f>
        <v>8</v>
      </c>
      <c r="K66" s="408">
        <f>K7</f>
        <v>20</v>
      </c>
      <c r="L66" s="409">
        <v>0</v>
      </c>
      <c r="M66" s="410">
        <f t="shared" si="3"/>
        <v>0</v>
      </c>
      <c r="N66" s="403">
        <v>1</v>
      </c>
      <c r="O66" s="404">
        <f t="shared" si="4"/>
        <v>0</v>
      </c>
      <c r="P66" s="411">
        <v>59</v>
      </c>
      <c r="Q66" s="406">
        <v>0</v>
      </c>
      <c r="R66" s="406"/>
      <c r="S66" s="406"/>
      <c r="T66" s="407"/>
      <c r="V66" s="412" t="s">
        <v>508</v>
      </c>
      <c r="W66" s="413" t="str">
        <f t="shared" si="6"/>
        <v/>
      </c>
      <c r="X66" s="413" t="str">
        <f t="shared" si="6"/>
        <v/>
      </c>
      <c r="Y66" s="413" t="str">
        <f t="shared" si="6"/>
        <v/>
      </c>
      <c r="Z66" s="357">
        <v>17.25</v>
      </c>
    </row>
    <row r="67" spans="1:26" ht="17.25" customHeight="1">
      <c r="A67" s="351">
        <v>60</v>
      </c>
      <c r="B67" s="392">
        <f>IF(I7=0,0,I67/I7)</f>
        <v>0</v>
      </c>
      <c r="C67" s="393">
        <v>0</v>
      </c>
      <c r="D67" s="394">
        <v>0</v>
      </c>
      <c r="E67" s="395">
        <v>0</v>
      </c>
      <c r="F67" s="396">
        <v>0</v>
      </c>
      <c r="G67" s="397">
        <f t="shared" si="0"/>
        <v>0</v>
      </c>
      <c r="H67" s="398">
        <f t="shared" si="1"/>
        <v>0</v>
      </c>
      <c r="I67" s="399">
        <f t="shared" si="2"/>
        <v>0</v>
      </c>
      <c r="J67" s="400">
        <f>J7</f>
        <v>8</v>
      </c>
      <c r="K67" s="408">
        <f>K7</f>
        <v>20</v>
      </c>
      <c r="L67" s="409">
        <v>0</v>
      </c>
      <c r="M67" s="410">
        <f t="shared" si="3"/>
        <v>0</v>
      </c>
      <c r="N67" s="403">
        <v>1</v>
      </c>
      <c r="O67" s="404">
        <f t="shared" si="4"/>
        <v>0</v>
      </c>
      <c r="P67" s="411">
        <v>60</v>
      </c>
      <c r="Q67" s="406">
        <v>0</v>
      </c>
      <c r="R67" s="406"/>
      <c r="S67" s="406"/>
      <c r="T67" s="407"/>
      <c r="V67" s="412" t="s">
        <v>508</v>
      </c>
      <c r="W67" s="413" t="str">
        <f t="shared" si="6"/>
        <v/>
      </c>
      <c r="X67" s="413" t="str">
        <f t="shared" si="6"/>
        <v/>
      </c>
      <c r="Y67" s="413" t="str">
        <f t="shared" si="6"/>
        <v/>
      </c>
      <c r="Z67" s="357">
        <v>17.25</v>
      </c>
    </row>
    <row r="68" spans="1:26" ht="17.25" customHeight="1">
      <c r="A68" s="351">
        <v>61</v>
      </c>
      <c r="B68" s="392">
        <f>IF(I7=0,0,I68/I7)</f>
        <v>0</v>
      </c>
      <c r="C68" s="393">
        <v>0</v>
      </c>
      <c r="D68" s="394">
        <v>0</v>
      </c>
      <c r="E68" s="395">
        <v>0</v>
      </c>
      <c r="F68" s="396">
        <v>0</v>
      </c>
      <c r="G68" s="397">
        <f t="shared" si="0"/>
        <v>0</v>
      </c>
      <c r="H68" s="398">
        <f t="shared" si="1"/>
        <v>0</v>
      </c>
      <c r="I68" s="399">
        <f t="shared" si="2"/>
        <v>0</v>
      </c>
      <c r="J68" s="400">
        <f>J7</f>
        <v>8</v>
      </c>
      <c r="K68" s="408">
        <f>K7</f>
        <v>20</v>
      </c>
      <c r="L68" s="409">
        <v>0</v>
      </c>
      <c r="M68" s="410">
        <f t="shared" si="3"/>
        <v>0</v>
      </c>
      <c r="N68" s="403">
        <v>1</v>
      </c>
      <c r="O68" s="404">
        <f t="shared" si="4"/>
        <v>0</v>
      </c>
      <c r="P68" s="411">
        <v>61</v>
      </c>
      <c r="Q68" s="406">
        <v>0</v>
      </c>
      <c r="R68" s="406"/>
      <c r="S68" s="406"/>
      <c r="T68" s="407"/>
      <c r="V68" s="412" t="s">
        <v>508</v>
      </c>
      <c r="W68" s="413" t="str">
        <f t="shared" si="6"/>
        <v/>
      </c>
      <c r="X68" s="413" t="str">
        <f t="shared" si="6"/>
        <v/>
      </c>
      <c r="Y68" s="413" t="str">
        <f t="shared" si="6"/>
        <v/>
      </c>
      <c r="Z68" s="357">
        <v>17.25</v>
      </c>
    </row>
    <row r="69" spans="1:26" ht="17.25" customHeight="1">
      <c r="A69" s="351">
        <v>62</v>
      </c>
      <c r="B69" s="392">
        <f>IF(I7=0,0,I69/I7)</f>
        <v>0</v>
      </c>
      <c r="C69" s="393">
        <v>0</v>
      </c>
      <c r="D69" s="394">
        <v>0</v>
      </c>
      <c r="E69" s="395">
        <v>0</v>
      </c>
      <c r="F69" s="396">
        <v>0</v>
      </c>
      <c r="G69" s="397">
        <f t="shared" si="0"/>
        <v>0</v>
      </c>
      <c r="H69" s="398">
        <f t="shared" si="1"/>
        <v>0</v>
      </c>
      <c r="I69" s="399">
        <f t="shared" si="2"/>
        <v>0</v>
      </c>
      <c r="J69" s="400">
        <f>J7</f>
        <v>8</v>
      </c>
      <c r="K69" s="408">
        <f>K7</f>
        <v>20</v>
      </c>
      <c r="L69" s="409">
        <v>0</v>
      </c>
      <c r="M69" s="410">
        <f t="shared" si="3"/>
        <v>0</v>
      </c>
      <c r="N69" s="403">
        <v>1</v>
      </c>
      <c r="O69" s="404">
        <f t="shared" si="4"/>
        <v>0</v>
      </c>
      <c r="P69" s="411">
        <v>62</v>
      </c>
      <c r="Q69" s="406">
        <v>0</v>
      </c>
      <c r="R69" s="406"/>
      <c r="S69" s="406"/>
      <c r="T69" s="407"/>
      <c r="V69" s="412" t="s">
        <v>508</v>
      </c>
      <c r="W69" s="413" t="str">
        <f t="shared" si="6"/>
        <v/>
      </c>
      <c r="X69" s="413" t="str">
        <f t="shared" si="6"/>
        <v/>
      </c>
      <c r="Y69" s="413" t="str">
        <f t="shared" si="6"/>
        <v/>
      </c>
      <c r="Z69" s="357">
        <v>17.25</v>
      </c>
    </row>
    <row r="70" spans="1:26" ht="17.25" customHeight="1">
      <c r="A70" s="351">
        <v>63</v>
      </c>
      <c r="B70" s="392">
        <f>IF(I7=0,0,I70/I7)</f>
        <v>0</v>
      </c>
      <c r="C70" s="393">
        <v>0</v>
      </c>
      <c r="D70" s="394">
        <v>0</v>
      </c>
      <c r="E70" s="395">
        <v>0</v>
      </c>
      <c r="F70" s="396">
        <v>0</v>
      </c>
      <c r="G70" s="397">
        <f t="shared" si="0"/>
        <v>0</v>
      </c>
      <c r="H70" s="398">
        <f t="shared" si="1"/>
        <v>0</v>
      </c>
      <c r="I70" s="399">
        <f t="shared" si="2"/>
        <v>0</v>
      </c>
      <c r="J70" s="400">
        <f>J7</f>
        <v>8</v>
      </c>
      <c r="K70" s="408">
        <f>K7</f>
        <v>20</v>
      </c>
      <c r="L70" s="409">
        <v>0</v>
      </c>
      <c r="M70" s="410">
        <f t="shared" si="3"/>
        <v>0</v>
      </c>
      <c r="N70" s="403">
        <v>1</v>
      </c>
      <c r="O70" s="404">
        <f t="shared" si="4"/>
        <v>0</v>
      </c>
      <c r="P70" s="411">
        <v>63</v>
      </c>
      <c r="Q70" s="406">
        <v>0</v>
      </c>
      <c r="R70" s="406"/>
      <c r="S70" s="406"/>
      <c r="T70" s="407"/>
      <c r="V70" s="412" t="s">
        <v>508</v>
      </c>
      <c r="W70" s="413" t="str">
        <f t="shared" si="6"/>
        <v/>
      </c>
      <c r="X70" s="413" t="str">
        <f t="shared" si="6"/>
        <v/>
      </c>
      <c r="Y70" s="413" t="str">
        <f t="shared" si="6"/>
        <v/>
      </c>
      <c r="Z70" s="357">
        <v>17.25</v>
      </c>
    </row>
    <row r="71" spans="1:26" ht="17.25" customHeight="1">
      <c r="A71" s="351">
        <v>64</v>
      </c>
      <c r="B71" s="392">
        <f>IF(I7=0,0,I71/I7)</f>
        <v>0</v>
      </c>
      <c r="C71" s="393">
        <v>0</v>
      </c>
      <c r="D71" s="394">
        <v>0</v>
      </c>
      <c r="E71" s="395">
        <v>0</v>
      </c>
      <c r="F71" s="396">
        <v>0</v>
      </c>
      <c r="G71" s="397">
        <f t="shared" si="0"/>
        <v>0</v>
      </c>
      <c r="H71" s="398">
        <f t="shared" si="1"/>
        <v>0</v>
      </c>
      <c r="I71" s="399">
        <f t="shared" si="2"/>
        <v>0</v>
      </c>
      <c r="J71" s="400">
        <f>J7</f>
        <v>8</v>
      </c>
      <c r="K71" s="408">
        <f>K7</f>
        <v>20</v>
      </c>
      <c r="L71" s="409">
        <v>0</v>
      </c>
      <c r="M71" s="410">
        <f t="shared" si="3"/>
        <v>0</v>
      </c>
      <c r="N71" s="403">
        <v>1</v>
      </c>
      <c r="O71" s="404">
        <f t="shared" si="4"/>
        <v>0</v>
      </c>
      <c r="P71" s="411">
        <v>64</v>
      </c>
      <c r="Q71" s="406">
        <v>0</v>
      </c>
      <c r="R71" s="406"/>
      <c r="S71" s="406"/>
      <c r="T71" s="407"/>
      <c r="V71" s="412" t="s">
        <v>508</v>
      </c>
      <c r="W71" s="413" t="str">
        <f t="shared" si="6"/>
        <v/>
      </c>
      <c r="X71" s="413" t="str">
        <f t="shared" si="6"/>
        <v/>
      </c>
      <c r="Y71" s="413" t="str">
        <f t="shared" si="6"/>
        <v/>
      </c>
      <c r="Z71" s="357">
        <v>17.25</v>
      </c>
    </row>
    <row r="72" spans="1:26" ht="17.25" customHeight="1">
      <c r="A72" s="351">
        <v>65</v>
      </c>
      <c r="B72" s="392">
        <f>IF(I7=0,0,I72/I7)</f>
        <v>0</v>
      </c>
      <c r="C72" s="393">
        <v>0</v>
      </c>
      <c r="D72" s="394">
        <v>0</v>
      </c>
      <c r="E72" s="395">
        <v>0</v>
      </c>
      <c r="F72" s="396">
        <v>0</v>
      </c>
      <c r="G72" s="397">
        <f t="shared" ref="G72:G83" si="7">D72-(D72*F72%)</f>
        <v>0</v>
      </c>
      <c r="H72" s="398">
        <f t="shared" ref="H72:H83" si="8">IF(G72=0,0,(G72/J72)*K72)</f>
        <v>0</v>
      </c>
      <c r="I72" s="399">
        <f t="shared" ref="I72:I83" si="9">ROUNDUP(H72,1)</f>
        <v>0</v>
      </c>
      <c r="J72" s="400">
        <f>J7</f>
        <v>8</v>
      </c>
      <c r="K72" s="408">
        <f>K7</f>
        <v>20</v>
      </c>
      <c r="L72" s="409">
        <v>0</v>
      </c>
      <c r="M72" s="410">
        <f t="shared" ref="M72:M82" si="10">ROUNDUP(IF(H72=0,0,H72/(100-F72)*100),1)</f>
        <v>0</v>
      </c>
      <c r="N72" s="403">
        <v>1</v>
      </c>
      <c r="O72" s="404">
        <f t="shared" ref="O72:O83" si="11">N72*M72</f>
        <v>0</v>
      </c>
      <c r="P72" s="411">
        <v>65</v>
      </c>
      <c r="Q72" s="406">
        <v>0</v>
      </c>
      <c r="R72" s="406"/>
      <c r="S72" s="406"/>
      <c r="T72" s="407"/>
      <c r="V72" s="412" t="s">
        <v>508</v>
      </c>
      <c r="W72" s="413" t="str">
        <f t="shared" si="6"/>
        <v/>
      </c>
      <c r="X72" s="413" t="str">
        <f t="shared" si="6"/>
        <v/>
      </c>
      <c r="Y72" s="413" t="str">
        <f t="shared" si="6"/>
        <v/>
      </c>
      <c r="Z72" s="357">
        <v>17.25</v>
      </c>
    </row>
    <row r="73" spans="1:26" ht="17.25" customHeight="1">
      <c r="A73" s="351">
        <v>66</v>
      </c>
      <c r="B73" s="392">
        <f>IF(I7=0,0,I73/I7)</f>
        <v>0</v>
      </c>
      <c r="C73" s="393">
        <v>0</v>
      </c>
      <c r="D73" s="394">
        <v>0</v>
      </c>
      <c r="E73" s="395">
        <v>0</v>
      </c>
      <c r="F73" s="396">
        <v>0</v>
      </c>
      <c r="G73" s="397">
        <f t="shared" si="7"/>
        <v>0</v>
      </c>
      <c r="H73" s="398">
        <f t="shared" si="8"/>
        <v>0</v>
      </c>
      <c r="I73" s="399">
        <f t="shared" si="9"/>
        <v>0</v>
      </c>
      <c r="J73" s="400">
        <f>J7</f>
        <v>8</v>
      </c>
      <c r="K73" s="408">
        <f>K7</f>
        <v>20</v>
      </c>
      <c r="L73" s="409">
        <v>0</v>
      </c>
      <c r="M73" s="410">
        <f t="shared" si="10"/>
        <v>0</v>
      </c>
      <c r="N73" s="403">
        <v>1</v>
      </c>
      <c r="O73" s="404">
        <f t="shared" si="11"/>
        <v>0</v>
      </c>
      <c r="P73" s="411">
        <v>66</v>
      </c>
      <c r="Q73" s="406">
        <v>0</v>
      </c>
      <c r="R73" s="406"/>
      <c r="S73" s="406"/>
      <c r="T73" s="407"/>
      <c r="V73" s="412" t="s">
        <v>508</v>
      </c>
      <c r="W73" s="413" t="str">
        <f t="shared" ref="W73:Y82" si="12">IF(LEN(Q73)&gt;255," STOP 255 caractères maxi "&amp;(LEN(Q73)-255)&amp;" caractères de trop.","")</f>
        <v/>
      </c>
      <c r="X73" s="413" t="str">
        <f t="shared" si="12"/>
        <v/>
      </c>
      <c r="Y73" s="413" t="str">
        <f t="shared" si="12"/>
        <v/>
      </c>
      <c r="Z73" s="357">
        <v>17.25</v>
      </c>
    </row>
    <row r="74" spans="1:26" ht="17.25" customHeight="1">
      <c r="A74" s="351">
        <v>67</v>
      </c>
      <c r="B74" s="392">
        <f>IF(I7=0,0,I74/I7)</f>
        <v>0</v>
      </c>
      <c r="C74" s="393">
        <v>0</v>
      </c>
      <c r="D74" s="394">
        <v>0</v>
      </c>
      <c r="E74" s="395">
        <v>0</v>
      </c>
      <c r="F74" s="396">
        <v>0</v>
      </c>
      <c r="G74" s="397">
        <f t="shared" si="7"/>
        <v>0</v>
      </c>
      <c r="H74" s="398">
        <f t="shared" si="8"/>
        <v>0</v>
      </c>
      <c r="I74" s="399">
        <f t="shared" si="9"/>
        <v>0</v>
      </c>
      <c r="J74" s="400">
        <f>J7</f>
        <v>8</v>
      </c>
      <c r="K74" s="408">
        <f>K7</f>
        <v>20</v>
      </c>
      <c r="L74" s="409">
        <v>0</v>
      </c>
      <c r="M74" s="410">
        <f t="shared" si="10"/>
        <v>0</v>
      </c>
      <c r="N74" s="403">
        <v>1</v>
      </c>
      <c r="O74" s="404">
        <f t="shared" si="11"/>
        <v>0</v>
      </c>
      <c r="P74" s="411">
        <v>67</v>
      </c>
      <c r="Q74" s="406">
        <v>0</v>
      </c>
      <c r="R74" s="406"/>
      <c r="S74" s="406"/>
      <c r="T74" s="407"/>
      <c r="V74" s="412" t="s">
        <v>508</v>
      </c>
      <c r="W74" s="413" t="str">
        <f t="shared" si="12"/>
        <v/>
      </c>
      <c r="X74" s="413" t="str">
        <f t="shared" si="12"/>
        <v/>
      </c>
      <c r="Y74" s="413" t="str">
        <f t="shared" si="12"/>
        <v/>
      </c>
      <c r="Z74" s="357">
        <v>17.25</v>
      </c>
    </row>
    <row r="75" spans="1:26" ht="17.25" customHeight="1">
      <c r="A75" s="351">
        <v>68</v>
      </c>
      <c r="B75" s="392">
        <f>IF(I7=0,0,I75/I7)</f>
        <v>0</v>
      </c>
      <c r="C75" s="393">
        <v>0</v>
      </c>
      <c r="D75" s="394">
        <v>0</v>
      </c>
      <c r="E75" s="395">
        <v>0</v>
      </c>
      <c r="F75" s="396">
        <v>0</v>
      </c>
      <c r="G75" s="397">
        <f t="shared" si="7"/>
        <v>0</v>
      </c>
      <c r="H75" s="398">
        <f t="shared" si="8"/>
        <v>0</v>
      </c>
      <c r="I75" s="399">
        <f t="shared" si="9"/>
        <v>0</v>
      </c>
      <c r="J75" s="400">
        <f>J7</f>
        <v>8</v>
      </c>
      <c r="K75" s="408">
        <f>K7</f>
        <v>20</v>
      </c>
      <c r="L75" s="409">
        <v>0</v>
      </c>
      <c r="M75" s="410">
        <f t="shared" si="10"/>
        <v>0</v>
      </c>
      <c r="N75" s="403">
        <v>1</v>
      </c>
      <c r="O75" s="404">
        <f t="shared" si="11"/>
        <v>0</v>
      </c>
      <c r="P75" s="411">
        <v>68</v>
      </c>
      <c r="Q75" s="406">
        <v>0</v>
      </c>
      <c r="R75" s="406"/>
      <c r="S75" s="406"/>
      <c r="T75" s="407"/>
      <c r="V75" s="412" t="s">
        <v>508</v>
      </c>
      <c r="W75" s="413" t="str">
        <f t="shared" si="12"/>
        <v/>
      </c>
      <c r="X75" s="413" t="str">
        <f t="shared" si="12"/>
        <v/>
      </c>
      <c r="Y75" s="413" t="str">
        <f t="shared" si="12"/>
        <v/>
      </c>
      <c r="Z75" s="357">
        <v>17.25</v>
      </c>
    </row>
    <row r="76" spans="1:26" ht="17.25" customHeight="1">
      <c r="A76" s="351">
        <v>69</v>
      </c>
      <c r="B76" s="392">
        <f>IF(I7=0,0,I76/I7)</f>
        <v>0</v>
      </c>
      <c r="C76" s="393">
        <v>0</v>
      </c>
      <c r="D76" s="394">
        <v>0</v>
      </c>
      <c r="E76" s="395">
        <v>0</v>
      </c>
      <c r="F76" s="396">
        <v>0</v>
      </c>
      <c r="G76" s="397">
        <f t="shared" si="7"/>
        <v>0</v>
      </c>
      <c r="H76" s="398">
        <f t="shared" si="8"/>
        <v>0</v>
      </c>
      <c r="I76" s="399">
        <f t="shared" si="9"/>
        <v>0</v>
      </c>
      <c r="J76" s="400">
        <f>J7</f>
        <v>8</v>
      </c>
      <c r="K76" s="408">
        <f>K7</f>
        <v>20</v>
      </c>
      <c r="L76" s="409">
        <v>0</v>
      </c>
      <c r="M76" s="410">
        <f t="shared" si="10"/>
        <v>0</v>
      </c>
      <c r="N76" s="403">
        <v>1</v>
      </c>
      <c r="O76" s="404">
        <f t="shared" si="11"/>
        <v>0</v>
      </c>
      <c r="P76" s="411">
        <v>69</v>
      </c>
      <c r="Q76" s="406">
        <v>0</v>
      </c>
      <c r="R76" s="406"/>
      <c r="S76" s="406"/>
      <c r="T76" s="407"/>
      <c r="V76" s="412" t="s">
        <v>508</v>
      </c>
      <c r="W76" s="413" t="str">
        <f t="shared" si="12"/>
        <v/>
      </c>
      <c r="X76" s="413" t="str">
        <f t="shared" si="12"/>
        <v/>
      </c>
      <c r="Y76" s="413" t="str">
        <f t="shared" si="12"/>
        <v/>
      </c>
      <c r="Z76" s="357">
        <v>17.25</v>
      </c>
    </row>
    <row r="77" spans="1:26" ht="17.25" customHeight="1">
      <c r="A77" s="351">
        <v>70</v>
      </c>
      <c r="B77" s="392">
        <f>IF(I7=0,0,I77/I7)</f>
        <v>0</v>
      </c>
      <c r="C77" s="393">
        <v>0</v>
      </c>
      <c r="D77" s="394">
        <v>0</v>
      </c>
      <c r="E77" s="395">
        <v>0</v>
      </c>
      <c r="F77" s="396">
        <v>0</v>
      </c>
      <c r="G77" s="397">
        <f t="shared" si="7"/>
        <v>0</v>
      </c>
      <c r="H77" s="398">
        <f t="shared" si="8"/>
        <v>0</v>
      </c>
      <c r="I77" s="399">
        <f t="shared" si="9"/>
        <v>0</v>
      </c>
      <c r="J77" s="400">
        <f>J7</f>
        <v>8</v>
      </c>
      <c r="K77" s="408">
        <f>K7</f>
        <v>20</v>
      </c>
      <c r="L77" s="409">
        <v>0</v>
      </c>
      <c r="M77" s="410">
        <f t="shared" si="10"/>
        <v>0</v>
      </c>
      <c r="N77" s="403">
        <v>1</v>
      </c>
      <c r="O77" s="404">
        <f t="shared" si="11"/>
        <v>0</v>
      </c>
      <c r="P77" s="411">
        <v>70</v>
      </c>
      <c r="Q77" s="406">
        <v>0</v>
      </c>
      <c r="R77" s="406"/>
      <c r="S77" s="406"/>
      <c r="T77" s="407"/>
      <c r="V77" s="412" t="s">
        <v>508</v>
      </c>
      <c r="W77" s="413" t="str">
        <f t="shared" si="12"/>
        <v/>
      </c>
      <c r="X77" s="413" t="str">
        <f t="shared" si="12"/>
        <v/>
      </c>
      <c r="Y77" s="413" t="str">
        <f t="shared" si="12"/>
        <v/>
      </c>
      <c r="Z77" s="357">
        <v>17.25</v>
      </c>
    </row>
    <row r="78" spans="1:26" ht="17.25" customHeight="1">
      <c r="A78" s="351">
        <v>71</v>
      </c>
      <c r="B78" s="392">
        <f>IF(I7=0,0,I78/I7)</f>
        <v>0</v>
      </c>
      <c r="C78" s="393">
        <v>0</v>
      </c>
      <c r="D78" s="394">
        <v>0</v>
      </c>
      <c r="E78" s="395">
        <v>0</v>
      </c>
      <c r="F78" s="396">
        <v>0</v>
      </c>
      <c r="G78" s="397">
        <f t="shared" si="7"/>
        <v>0</v>
      </c>
      <c r="H78" s="398">
        <f t="shared" si="8"/>
        <v>0</v>
      </c>
      <c r="I78" s="399">
        <f t="shared" si="9"/>
        <v>0</v>
      </c>
      <c r="J78" s="400">
        <f>J7</f>
        <v>8</v>
      </c>
      <c r="K78" s="408">
        <f>K7</f>
        <v>20</v>
      </c>
      <c r="L78" s="409">
        <v>0</v>
      </c>
      <c r="M78" s="410">
        <f t="shared" si="10"/>
        <v>0</v>
      </c>
      <c r="N78" s="403">
        <v>1</v>
      </c>
      <c r="O78" s="404">
        <f t="shared" si="11"/>
        <v>0</v>
      </c>
      <c r="P78" s="411">
        <v>71</v>
      </c>
      <c r="Q78" s="406">
        <v>0</v>
      </c>
      <c r="R78" s="406"/>
      <c r="S78" s="406"/>
      <c r="T78" s="407"/>
      <c r="V78" s="412" t="s">
        <v>508</v>
      </c>
      <c r="W78" s="413" t="str">
        <f t="shared" si="12"/>
        <v/>
      </c>
      <c r="X78" s="413" t="str">
        <f t="shared" si="12"/>
        <v/>
      </c>
      <c r="Y78" s="413" t="str">
        <f t="shared" si="12"/>
        <v/>
      </c>
      <c r="Z78" s="357">
        <v>17.25</v>
      </c>
    </row>
    <row r="79" spans="1:26" ht="17.25" customHeight="1">
      <c r="A79" s="351">
        <v>72</v>
      </c>
      <c r="B79" s="392">
        <f>IF(I7=0,0,I79/I7)</f>
        <v>0</v>
      </c>
      <c r="C79" s="393">
        <v>0</v>
      </c>
      <c r="D79" s="394">
        <v>0</v>
      </c>
      <c r="E79" s="395">
        <v>0</v>
      </c>
      <c r="F79" s="396">
        <v>0</v>
      </c>
      <c r="G79" s="397">
        <f t="shared" si="7"/>
        <v>0</v>
      </c>
      <c r="H79" s="398">
        <f t="shared" si="8"/>
        <v>0</v>
      </c>
      <c r="I79" s="399">
        <f t="shared" si="9"/>
        <v>0</v>
      </c>
      <c r="J79" s="400">
        <f>J7</f>
        <v>8</v>
      </c>
      <c r="K79" s="408">
        <f>K7</f>
        <v>20</v>
      </c>
      <c r="L79" s="409">
        <v>0</v>
      </c>
      <c r="M79" s="410">
        <f t="shared" si="10"/>
        <v>0</v>
      </c>
      <c r="N79" s="403">
        <v>1</v>
      </c>
      <c r="O79" s="404">
        <f t="shared" si="11"/>
        <v>0</v>
      </c>
      <c r="P79" s="411">
        <v>72</v>
      </c>
      <c r="Q79" s="406">
        <v>0</v>
      </c>
      <c r="R79" s="406"/>
      <c r="S79" s="406"/>
      <c r="T79" s="407"/>
      <c r="V79" s="412" t="s">
        <v>508</v>
      </c>
      <c r="W79" s="413" t="str">
        <f t="shared" si="12"/>
        <v/>
      </c>
      <c r="X79" s="413" t="str">
        <f t="shared" si="12"/>
        <v/>
      </c>
      <c r="Y79" s="413" t="str">
        <f t="shared" si="12"/>
        <v/>
      </c>
      <c r="Z79" s="357">
        <v>17.25</v>
      </c>
    </row>
    <row r="80" spans="1:26" ht="17.25" customHeight="1">
      <c r="A80" s="351">
        <v>73</v>
      </c>
      <c r="B80" s="392">
        <f>IF(I7=0,0,I80/I7)</f>
        <v>0</v>
      </c>
      <c r="C80" s="393">
        <v>0</v>
      </c>
      <c r="D80" s="394">
        <v>0</v>
      </c>
      <c r="E80" s="395">
        <v>0</v>
      </c>
      <c r="F80" s="396">
        <v>0</v>
      </c>
      <c r="G80" s="397">
        <f t="shared" si="7"/>
        <v>0</v>
      </c>
      <c r="H80" s="398">
        <f t="shared" si="8"/>
        <v>0</v>
      </c>
      <c r="I80" s="399">
        <f t="shared" si="9"/>
        <v>0</v>
      </c>
      <c r="J80" s="400">
        <f>J7</f>
        <v>8</v>
      </c>
      <c r="K80" s="408">
        <f>K7</f>
        <v>20</v>
      </c>
      <c r="L80" s="409">
        <v>0</v>
      </c>
      <c r="M80" s="410">
        <f t="shared" si="10"/>
        <v>0</v>
      </c>
      <c r="N80" s="403">
        <v>1</v>
      </c>
      <c r="O80" s="404">
        <f t="shared" si="11"/>
        <v>0</v>
      </c>
      <c r="P80" s="411">
        <v>73</v>
      </c>
      <c r="Q80" s="406">
        <v>0</v>
      </c>
      <c r="R80" s="406"/>
      <c r="S80" s="406"/>
      <c r="T80" s="407"/>
      <c r="V80" s="412" t="s">
        <v>508</v>
      </c>
      <c r="W80" s="413" t="str">
        <f t="shared" si="12"/>
        <v/>
      </c>
      <c r="X80" s="413" t="str">
        <f t="shared" si="12"/>
        <v/>
      </c>
      <c r="Y80" s="413" t="str">
        <f t="shared" si="12"/>
        <v/>
      </c>
      <c r="Z80" s="357">
        <v>17.25</v>
      </c>
    </row>
    <row r="81" spans="1:26" ht="17.25" customHeight="1">
      <c r="A81" s="351">
        <v>74</v>
      </c>
      <c r="B81" s="392">
        <f>IF(I7=0,0,I81/I7)</f>
        <v>0</v>
      </c>
      <c r="C81" s="393">
        <v>0</v>
      </c>
      <c r="D81" s="394">
        <v>0</v>
      </c>
      <c r="E81" s="395">
        <v>0</v>
      </c>
      <c r="F81" s="396">
        <v>0</v>
      </c>
      <c r="G81" s="397">
        <f t="shared" si="7"/>
        <v>0</v>
      </c>
      <c r="H81" s="398">
        <f t="shared" si="8"/>
        <v>0</v>
      </c>
      <c r="I81" s="399">
        <f t="shared" si="9"/>
        <v>0</v>
      </c>
      <c r="J81" s="400">
        <f>J7</f>
        <v>8</v>
      </c>
      <c r="K81" s="408">
        <f>K7</f>
        <v>20</v>
      </c>
      <c r="L81" s="409">
        <v>0</v>
      </c>
      <c r="M81" s="410">
        <f t="shared" si="10"/>
        <v>0</v>
      </c>
      <c r="N81" s="403">
        <v>1</v>
      </c>
      <c r="O81" s="404">
        <f t="shared" si="11"/>
        <v>0</v>
      </c>
      <c r="P81" s="411">
        <v>74</v>
      </c>
      <c r="Q81" s="406">
        <v>0</v>
      </c>
      <c r="R81" s="406"/>
      <c r="S81" s="406"/>
      <c r="T81" s="407"/>
      <c r="V81" s="412" t="s">
        <v>508</v>
      </c>
      <c r="W81" s="413" t="str">
        <f t="shared" si="12"/>
        <v/>
      </c>
      <c r="X81" s="413" t="str">
        <f t="shared" si="12"/>
        <v/>
      </c>
      <c r="Y81" s="413" t="str">
        <f t="shared" si="12"/>
        <v/>
      </c>
      <c r="Z81" s="357">
        <v>17.25</v>
      </c>
    </row>
    <row r="82" spans="1:26" ht="17.25" customHeight="1">
      <c r="A82" s="351">
        <v>75</v>
      </c>
      <c r="B82" s="392">
        <f>IF(I7=0,0,I82/I7)</f>
        <v>0</v>
      </c>
      <c r="C82" s="393">
        <v>0</v>
      </c>
      <c r="D82" s="394">
        <v>0</v>
      </c>
      <c r="E82" s="395">
        <v>0</v>
      </c>
      <c r="F82" s="396">
        <v>0</v>
      </c>
      <c r="G82" s="397">
        <f t="shared" si="7"/>
        <v>0</v>
      </c>
      <c r="H82" s="398">
        <f t="shared" si="8"/>
        <v>0</v>
      </c>
      <c r="I82" s="399">
        <f t="shared" si="9"/>
        <v>0</v>
      </c>
      <c r="J82" s="400">
        <f>J7</f>
        <v>8</v>
      </c>
      <c r="K82" s="408">
        <f>K7</f>
        <v>20</v>
      </c>
      <c r="L82" s="409">
        <v>0</v>
      </c>
      <c r="M82" s="410">
        <f t="shared" si="10"/>
        <v>0</v>
      </c>
      <c r="N82" s="403">
        <v>1</v>
      </c>
      <c r="O82" s="404">
        <f t="shared" si="11"/>
        <v>0</v>
      </c>
      <c r="P82" s="411">
        <v>75</v>
      </c>
      <c r="Q82" s="414">
        <v>0</v>
      </c>
      <c r="R82" s="414"/>
      <c r="S82" s="414"/>
      <c r="T82" s="415"/>
      <c r="V82" s="412" t="s">
        <v>508</v>
      </c>
      <c r="W82" s="413" t="str">
        <f t="shared" si="12"/>
        <v/>
      </c>
      <c r="X82" s="413" t="str">
        <f t="shared" si="12"/>
        <v/>
      </c>
      <c r="Y82" s="413" t="str">
        <f t="shared" si="12"/>
        <v/>
      </c>
      <c r="Z82" s="357">
        <v>17.25</v>
      </c>
    </row>
    <row r="83" spans="1:26" ht="17.25" customHeight="1">
      <c r="A83" s="351">
        <v>0</v>
      </c>
      <c r="B83" s="416">
        <f>SUM(B8:B82)</f>
        <v>1</v>
      </c>
      <c r="C83" s="417"/>
      <c r="D83" s="418">
        <v>0</v>
      </c>
      <c r="E83" s="419">
        <v>0</v>
      </c>
      <c r="F83" s="420">
        <v>0</v>
      </c>
      <c r="G83" s="421">
        <f t="shared" si="7"/>
        <v>0</v>
      </c>
      <c r="H83" s="422">
        <f t="shared" si="8"/>
        <v>0</v>
      </c>
      <c r="I83" s="423">
        <f t="shared" si="9"/>
        <v>0</v>
      </c>
      <c r="J83" s="424">
        <f>J7</f>
        <v>8</v>
      </c>
      <c r="K83" s="424">
        <f>K7</f>
        <v>20</v>
      </c>
      <c r="L83" s="425">
        <v>0</v>
      </c>
      <c r="M83" s="426">
        <f>IF(H83=0,0,H83/(100-F83)*100)</f>
        <v>0</v>
      </c>
      <c r="N83" s="427"/>
      <c r="O83" s="428">
        <f t="shared" si="11"/>
        <v>0</v>
      </c>
      <c r="P83" s="429">
        <v>0</v>
      </c>
      <c r="Q83" s="427">
        <v>0</v>
      </c>
      <c r="R83" s="427">
        <v>0</v>
      </c>
      <c r="S83" s="427">
        <v>0</v>
      </c>
      <c r="T83" s="427">
        <v>0</v>
      </c>
      <c r="V83" s="430" t="s">
        <v>510</v>
      </c>
      <c r="W83" s="431"/>
      <c r="X83" s="353"/>
      <c r="Y83" s="353">
        <v>0</v>
      </c>
      <c r="Z83" s="357">
        <v>17.25</v>
      </c>
    </row>
    <row r="84" spans="1:26" ht="20.25">
      <c r="A84" s="351">
        <v>0</v>
      </c>
      <c r="B84" s="3377" t="s">
        <v>511</v>
      </c>
      <c r="C84" s="3377"/>
      <c r="D84" s="3377"/>
      <c r="E84" s="3377"/>
      <c r="F84" s="3377"/>
      <c r="G84" s="3377"/>
      <c r="H84" s="3377"/>
      <c r="I84" s="3377"/>
      <c r="J84" s="3377"/>
      <c r="K84" s="3377"/>
      <c r="L84" s="3377"/>
      <c r="M84" s="3377"/>
      <c r="N84" s="3377"/>
      <c r="O84" s="3377"/>
      <c r="P84" s="411">
        <v>76</v>
      </c>
      <c r="Q84" s="3386">
        <v>0</v>
      </c>
      <c r="R84" s="3386"/>
      <c r="S84" s="3386"/>
      <c r="T84" s="3386"/>
      <c r="V84" s="412" t="s">
        <v>508</v>
      </c>
      <c r="W84" s="432" t="str">
        <f t="shared" ref="W84:W109" si="13">IF(LEN(C84)&gt;255," STOP 255 caractères maxi "&amp;(LEN(C84)-255)&amp;" caractères de trop.","")</f>
        <v/>
      </c>
      <c r="X84" s="433"/>
      <c r="Y84" s="434"/>
      <c r="Z84" s="357">
        <v>17.25</v>
      </c>
    </row>
    <row r="85" spans="1:26" ht="15">
      <c r="A85" s="351">
        <v>0</v>
      </c>
      <c r="B85" s="435">
        <v>0</v>
      </c>
      <c r="C85" s="3374" t="s">
        <v>512</v>
      </c>
      <c r="D85" s="3374"/>
      <c r="E85" s="3374"/>
      <c r="F85" s="3374"/>
      <c r="G85" s="3374"/>
      <c r="H85" s="3374"/>
      <c r="I85" s="3374"/>
      <c r="J85" s="3374"/>
      <c r="K85" s="3374"/>
      <c r="L85" s="3374"/>
      <c r="M85" s="3374"/>
      <c r="N85" s="3374"/>
      <c r="O85" s="3374"/>
      <c r="P85" s="411">
        <v>77</v>
      </c>
      <c r="Q85" s="3386">
        <v>0</v>
      </c>
      <c r="R85" s="3386"/>
      <c r="S85" s="3386"/>
      <c r="T85" s="3386"/>
      <c r="V85" s="412" t="s">
        <v>508</v>
      </c>
      <c r="W85" s="432" t="str">
        <f t="shared" si="13"/>
        <v/>
      </c>
      <c r="X85" s="433"/>
      <c r="Y85" s="434"/>
      <c r="Z85" s="357">
        <v>17.25</v>
      </c>
    </row>
    <row r="86" spans="1:26" ht="15">
      <c r="A86" s="351"/>
      <c r="B86" s="390">
        <v>0</v>
      </c>
      <c r="C86" s="436"/>
      <c r="D86" s="437" t="s">
        <v>513</v>
      </c>
      <c r="E86" s="3375" t="s">
        <v>514</v>
      </c>
      <c r="F86" s="3375"/>
      <c r="G86" s="3376" t="s">
        <v>515</v>
      </c>
      <c r="H86" s="3376"/>
      <c r="I86" s="438" t="s">
        <v>516</v>
      </c>
      <c r="J86" s="439"/>
      <c r="K86" s="439"/>
      <c r="L86" s="438"/>
      <c r="M86" s="440"/>
      <c r="N86" s="440"/>
      <c r="O86" s="441"/>
      <c r="P86" s="411">
        <v>78</v>
      </c>
      <c r="Q86" s="3386">
        <v>0</v>
      </c>
      <c r="R86" s="3386"/>
      <c r="S86" s="3386"/>
      <c r="T86" s="3386"/>
      <c r="V86" s="412" t="s">
        <v>508</v>
      </c>
      <c r="W86" s="432" t="str">
        <f t="shared" si="13"/>
        <v/>
      </c>
      <c r="X86" s="433"/>
      <c r="Y86" s="434"/>
      <c r="Z86" s="357">
        <v>17.25</v>
      </c>
    </row>
    <row r="87" spans="1:26" ht="15.75">
      <c r="A87" s="351"/>
      <c r="B87" s="390">
        <v>0</v>
      </c>
      <c r="C87" s="442"/>
      <c r="D87" s="443" t="s">
        <v>517</v>
      </c>
      <c r="E87" s="444">
        <v>0</v>
      </c>
      <c r="F87" s="445">
        <v>0</v>
      </c>
      <c r="G87" s="444">
        <v>0</v>
      </c>
      <c r="H87" s="445">
        <v>0</v>
      </c>
      <c r="I87" s="446"/>
      <c r="J87" s="447"/>
      <c r="K87" s="447"/>
      <c r="L87" s="446"/>
      <c r="M87" s="446"/>
      <c r="N87" s="446"/>
      <c r="O87" s="448"/>
      <c r="P87" s="411">
        <v>79</v>
      </c>
      <c r="Q87" s="3386">
        <v>0</v>
      </c>
      <c r="R87" s="3386"/>
      <c r="S87" s="3386"/>
      <c r="T87" s="3386"/>
      <c r="V87" s="412" t="s">
        <v>508</v>
      </c>
      <c r="W87" s="432" t="str">
        <f t="shared" si="13"/>
        <v/>
      </c>
      <c r="X87" s="433"/>
      <c r="Y87" s="434"/>
      <c r="Z87" s="357">
        <v>17.25</v>
      </c>
    </row>
    <row r="88" spans="1:26" ht="15">
      <c r="A88" s="351"/>
      <c r="B88" s="390">
        <v>0</v>
      </c>
      <c r="C88" s="449"/>
      <c r="D88" s="443" t="s">
        <v>518</v>
      </c>
      <c r="E88" s="444">
        <v>0</v>
      </c>
      <c r="F88" s="445">
        <v>0</v>
      </c>
      <c r="G88" s="444">
        <v>0</v>
      </c>
      <c r="H88" s="445">
        <v>0</v>
      </c>
      <c r="I88" s="446"/>
      <c r="J88" s="450"/>
      <c r="K88" s="450"/>
      <c r="L88" s="446"/>
      <c r="M88" s="446"/>
      <c r="N88" s="446"/>
      <c r="O88" s="448"/>
      <c r="P88" s="411">
        <v>80</v>
      </c>
      <c r="Q88" s="3386">
        <v>0</v>
      </c>
      <c r="R88" s="3386"/>
      <c r="S88" s="3386"/>
      <c r="T88" s="3386"/>
      <c r="V88" s="412" t="s">
        <v>508</v>
      </c>
      <c r="W88" s="432" t="str">
        <f t="shared" si="13"/>
        <v/>
      </c>
      <c r="X88" s="433"/>
      <c r="Y88" s="434"/>
      <c r="Z88" s="357">
        <v>17.25</v>
      </c>
    </row>
    <row r="89" spans="1:26" ht="15">
      <c r="A89" s="351">
        <v>0</v>
      </c>
      <c r="B89" s="390">
        <v>0</v>
      </c>
      <c r="C89" s="451"/>
      <c r="D89" s="443" t="s">
        <v>519</v>
      </c>
      <c r="E89" s="444">
        <v>0</v>
      </c>
      <c r="F89" s="445">
        <v>0</v>
      </c>
      <c r="G89" s="444">
        <v>0</v>
      </c>
      <c r="H89" s="445">
        <v>0</v>
      </c>
      <c r="I89" s="446"/>
      <c r="J89" s="452"/>
      <c r="K89" s="450"/>
      <c r="L89" s="446"/>
      <c r="M89" s="446"/>
      <c r="N89" s="446"/>
      <c r="O89" s="448"/>
      <c r="P89" s="411">
        <v>81</v>
      </c>
      <c r="Q89" s="3386">
        <v>0</v>
      </c>
      <c r="R89" s="3386"/>
      <c r="S89" s="3386"/>
      <c r="T89" s="3386"/>
      <c r="V89" s="412" t="s">
        <v>508</v>
      </c>
      <c r="W89" s="432" t="str">
        <f t="shared" si="13"/>
        <v/>
      </c>
      <c r="X89" s="433"/>
      <c r="Y89" s="434"/>
      <c r="Z89" s="357">
        <v>17.25</v>
      </c>
    </row>
    <row r="90" spans="1:26" ht="15">
      <c r="A90" s="351">
        <v>0</v>
      </c>
      <c r="B90" s="390">
        <v>0</v>
      </c>
      <c r="C90" s="451"/>
      <c r="D90" s="453" t="s">
        <v>520</v>
      </c>
      <c r="E90" s="444">
        <v>0</v>
      </c>
      <c r="F90" s="445">
        <v>0</v>
      </c>
      <c r="G90" s="444">
        <v>0</v>
      </c>
      <c r="H90" s="445">
        <v>0</v>
      </c>
      <c r="I90" s="446"/>
      <c r="J90" s="450"/>
      <c r="K90" s="450"/>
      <c r="L90" s="446"/>
      <c r="M90" s="446"/>
      <c r="N90" s="446"/>
      <c r="O90" s="448"/>
      <c r="P90" s="411">
        <v>82</v>
      </c>
      <c r="Q90" s="3386">
        <v>0</v>
      </c>
      <c r="R90" s="3386"/>
      <c r="S90" s="3386"/>
      <c r="T90" s="3386"/>
      <c r="V90" s="412" t="s">
        <v>508</v>
      </c>
      <c r="W90" s="432" t="str">
        <f t="shared" si="13"/>
        <v/>
      </c>
      <c r="X90" s="433"/>
      <c r="Y90" s="434"/>
      <c r="Z90" s="357">
        <v>17.25</v>
      </c>
    </row>
    <row r="91" spans="1:26" ht="15">
      <c r="A91" s="351">
        <v>0</v>
      </c>
      <c r="B91" s="390">
        <v>0</v>
      </c>
      <c r="C91" s="451"/>
      <c r="D91" s="3375" t="s">
        <v>521</v>
      </c>
      <c r="E91" s="3375"/>
      <c r="F91" s="454" t="s">
        <v>522</v>
      </c>
      <c r="G91" s="3375" t="s">
        <v>523</v>
      </c>
      <c r="H91" s="3375"/>
      <c r="I91" s="446"/>
      <c r="J91" s="450"/>
      <c r="K91" s="450"/>
      <c r="L91" s="446"/>
      <c r="M91" s="446"/>
      <c r="N91" s="446"/>
      <c r="O91" s="448"/>
      <c r="P91" s="411">
        <v>83</v>
      </c>
      <c r="Q91" s="3386">
        <v>0</v>
      </c>
      <c r="R91" s="3386"/>
      <c r="S91" s="3386"/>
      <c r="T91" s="3386"/>
      <c r="V91" s="412" t="s">
        <v>508</v>
      </c>
      <c r="W91" s="432" t="str">
        <f t="shared" si="13"/>
        <v/>
      </c>
      <c r="X91" s="433"/>
      <c r="Y91" s="434"/>
      <c r="Z91" s="357">
        <v>17.25</v>
      </c>
    </row>
    <row r="92" spans="1:26" ht="15">
      <c r="A92" s="351">
        <v>0</v>
      </c>
      <c r="B92" s="390">
        <v>0</v>
      </c>
      <c r="C92" s="443" t="s">
        <v>524</v>
      </c>
      <c r="D92" s="455">
        <v>0</v>
      </c>
      <c r="E92" s="456">
        <v>0</v>
      </c>
      <c r="F92" s="457">
        <v>0</v>
      </c>
      <c r="G92" s="444">
        <v>0</v>
      </c>
      <c r="H92" s="445">
        <v>0</v>
      </c>
      <c r="I92" s="446"/>
      <c r="J92" s="450"/>
      <c r="K92" s="450"/>
      <c r="L92" s="446"/>
      <c r="M92" s="446"/>
      <c r="N92" s="446"/>
      <c r="O92" s="448"/>
      <c r="P92" s="411">
        <v>84</v>
      </c>
      <c r="Q92" s="3386">
        <v>0</v>
      </c>
      <c r="R92" s="3386"/>
      <c r="S92" s="3386"/>
      <c r="T92" s="3386"/>
      <c r="V92" s="412" t="s">
        <v>508</v>
      </c>
      <c r="W92" s="432" t="str">
        <f t="shared" si="13"/>
        <v/>
      </c>
      <c r="X92" s="433"/>
      <c r="Y92" s="434"/>
      <c r="Z92" s="357">
        <v>17.25</v>
      </c>
    </row>
    <row r="93" spans="1:26" ht="15">
      <c r="A93" s="351">
        <v>0</v>
      </c>
      <c r="B93" s="390">
        <v>0</v>
      </c>
      <c r="C93" s="443" t="s">
        <v>525</v>
      </c>
      <c r="D93" s="455">
        <v>0</v>
      </c>
      <c r="E93" s="456">
        <v>0</v>
      </c>
      <c r="F93" s="457">
        <v>0</v>
      </c>
      <c r="G93" s="444">
        <v>0</v>
      </c>
      <c r="H93" s="445">
        <v>0</v>
      </c>
      <c r="I93" s="446"/>
      <c r="J93" s="450"/>
      <c r="K93" s="450"/>
      <c r="L93" s="446"/>
      <c r="M93" s="446"/>
      <c r="N93" s="446"/>
      <c r="O93" s="448"/>
      <c r="P93" s="411">
        <v>85</v>
      </c>
      <c r="Q93" s="3386">
        <v>0</v>
      </c>
      <c r="R93" s="3386"/>
      <c r="S93" s="3386"/>
      <c r="T93" s="3386"/>
      <c r="V93" s="412" t="s">
        <v>508</v>
      </c>
      <c r="W93" s="432" t="str">
        <f t="shared" si="13"/>
        <v/>
      </c>
      <c r="X93" s="433"/>
      <c r="Y93" s="434"/>
      <c r="Z93" s="357">
        <v>17.25</v>
      </c>
    </row>
    <row r="94" spans="1:26" ht="15">
      <c r="A94" s="351">
        <v>0</v>
      </c>
      <c r="B94" s="390">
        <v>0</v>
      </c>
      <c r="C94" s="443" t="s">
        <v>526</v>
      </c>
      <c r="D94" s="455">
        <v>0</v>
      </c>
      <c r="E94" s="456">
        <v>0</v>
      </c>
      <c r="F94" s="457">
        <v>0</v>
      </c>
      <c r="G94" s="444">
        <v>0</v>
      </c>
      <c r="H94" s="445">
        <v>0</v>
      </c>
      <c r="I94" s="446"/>
      <c r="J94" s="450"/>
      <c r="K94" s="450"/>
      <c r="L94" s="446"/>
      <c r="M94" s="446"/>
      <c r="N94" s="446"/>
      <c r="O94" s="448"/>
      <c r="P94" s="411">
        <v>86</v>
      </c>
      <c r="Q94" s="3386">
        <v>0</v>
      </c>
      <c r="R94" s="3386"/>
      <c r="S94" s="3386"/>
      <c r="T94" s="3386"/>
      <c r="V94" s="412" t="s">
        <v>508</v>
      </c>
      <c r="W94" s="432" t="str">
        <f t="shared" si="13"/>
        <v/>
      </c>
      <c r="X94" s="433"/>
      <c r="Y94" s="434"/>
      <c r="Z94" s="357">
        <v>17.25</v>
      </c>
    </row>
    <row r="95" spans="1:26" ht="15">
      <c r="A95" s="351">
        <v>0</v>
      </c>
      <c r="B95" s="390">
        <v>0</v>
      </c>
      <c r="C95" s="443" t="s">
        <v>527</v>
      </c>
      <c r="D95" s="455">
        <v>0</v>
      </c>
      <c r="E95" s="456">
        <v>0</v>
      </c>
      <c r="F95" s="457">
        <v>0</v>
      </c>
      <c r="G95" s="444">
        <v>0</v>
      </c>
      <c r="H95" s="445">
        <v>0</v>
      </c>
      <c r="I95" s="446"/>
      <c r="J95" s="450"/>
      <c r="K95" s="450"/>
      <c r="L95" s="446"/>
      <c r="M95" s="446"/>
      <c r="N95" s="446"/>
      <c r="O95" s="448"/>
      <c r="P95" s="411">
        <v>87</v>
      </c>
      <c r="Q95" s="3386">
        <v>0</v>
      </c>
      <c r="R95" s="3386"/>
      <c r="S95" s="3386"/>
      <c r="T95" s="3386"/>
      <c r="V95" s="412" t="s">
        <v>508</v>
      </c>
      <c r="W95" s="432" t="str">
        <f t="shared" si="13"/>
        <v/>
      </c>
      <c r="X95" s="433"/>
      <c r="Y95" s="434"/>
      <c r="Z95" s="357">
        <v>17.25</v>
      </c>
    </row>
    <row r="96" spans="1:26" ht="15">
      <c r="A96" s="351">
        <v>0</v>
      </c>
      <c r="B96" s="390">
        <v>0</v>
      </c>
      <c r="C96" s="458" t="s">
        <v>528</v>
      </c>
      <c r="D96" s="455">
        <v>0</v>
      </c>
      <c r="E96" s="456">
        <v>0</v>
      </c>
      <c r="F96" s="459" t="s">
        <v>529</v>
      </c>
      <c r="G96" s="460"/>
      <c r="H96" s="461"/>
      <c r="I96" s="446"/>
      <c r="J96" s="450"/>
      <c r="K96" s="450"/>
      <c r="L96" s="446"/>
      <c r="M96" s="446"/>
      <c r="N96" s="446"/>
      <c r="O96" s="448"/>
      <c r="P96" s="411">
        <v>88</v>
      </c>
      <c r="Q96" s="3386">
        <v>0</v>
      </c>
      <c r="R96" s="3386"/>
      <c r="S96" s="3386"/>
      <c r="T96" s="3386"/>
      <c r="V96" s="412" t="s">
        <v>508</v>
      </c>
      <c r="W96" s="432" t="str">
        <f t="shared" si="13"/>
        <v/>
      </c>
      <c r="X96" s="433"/>
      <c r="Y96" s="434"/>
      <c r="Z96" s="357">
        <v>17.25</v>
      </c>
    </row>
    <row r="97" spans="1:26" ht="17.25" customHeight="1">
      <c r="A97" s="351">
        <v>0</v>
      </c>
      <c r="B97" s="462">
        <v>0</v>
      </c>
      <c r="C97" s="463" t="s">
        <v>528</v>
      </c>
      <c r="D97" s="464">
        <v>0</v>
      </c>
      <c r="E97" s="465">
        <v>0</v>
      </c>
      <c r="F97" s="466" t="s">
        <v>530</v>
      </c>
      <c r="G97" s="467"/>
      <c r="H97" s="467"/>
      <c r="I97" s="467"/>
      <c r="J97" s="468"/>
      <c r="K97" s="468"/>
      <c r="L97" s="468"/>
      <c r="M97" s="468"/>
      <c r="N97" s="468"/>
      <c r="O97" s="469" t="s">
        <v>531</v>
      </c>
      <c r="P97" s="470">
        <v>89</v>
      </c>
      <c r="Q97" s="3387">
        <v>0</v>
      </c>
      <c r="R97" s="3387"/>
      <c r="S97" s="3387"/>
      <c r="T97" s="469" t="s">
        <v>531</v>
      </c>
      <c r="V97" s="412" t="s">
        <v>508</v>
      </c>
      <c r="W97" s="432" t="str">
        <f t="shared" si="13"/>
        <v/>
      </c>
      <c r="X97" s="433"/>
      <c r="Y97" s="434"/>
      <c r="Z97" s="357">
        <v>17.25</v>
      </c>
    </row>
    <row r="98" spans="1:26" ht="23.25" customHeight="1">
      <c r="A98" s="351">
        <v>0</v>
      </c>
      <c r="B98" s="471" t="s">
        <v>532</v>
      </c>
      <c r="C98" s="472"/>
      <c r="D98" s="473"/>
      <c r="E98" s="473"/>
      <c r="F98" s="473"/>
      <c r="G98" s="473"/>
      <c r="H98" s="473"/>
      <c r="I98" s="473"/>
      <c r="J98" s="473"/>
      <c r="K98" s="473"/>
      <c r="L98" s="473"/>
      <c r="M98" s="473"/>
      <c r="N98" s="473"/>
      <c r="O98" s="474"/>
      <c r="P98" s="3388" t="s">
        <v>533</v>
      </c>
      <c r="Q98" s="3388"/>
      <c r="R98" s="3388"/>
      <c r="S98" s="3388"/>
      <c r="T98" s="3388"/>
      <c r="V98" s="412" t="s">
        <v>508</v>
      </c>
      <c r="W98" s="432" t="str">
        <f t="shared" si="13"/>
        <v/>
      </c>
      <c r="X98" s="433"/>
      <c r="Y98" s="434"/>
      <c r="Z98" s="475">
        <v>23.25</v>
      </c>
    </row>
    <row r="99" spans="1:26" ht="36.75" customHeight="1">
      <c r="A99" s="351">
        <v>0</v>
      </c>
      <c r="B99" s="476" t="s">
        <v>534</v>
      </c>
      <c r="C99" s="477" t="s">
        <v>535</v>
      </c>
      <c r="D99" s="3389" t="s">
        <v>536</v>
      </c>
      <c r="E99" s="3389"/>
      <c r="F99" s="478" t="s">
        <v>537</v>
      </c>
      <c r="G99" s="478" t="s">
        <v>538</v>
      </c>
      <c r="H99" s="478" t="s">
        <v>539</v>
      </c>
      <c r="I99" s="3390" t="s">
        <v>540</v>
      </c>
      <c r="J99" s="3390"/>
      <c r="K99" s="479" t="s">
        <v>541</v>
      </c>
      <c r="L99" s="480">
        <v>0</v>
      </c>
      <c r="M99" s="3391" t="s">
        <v>542</v>
      </c>
      <c r="N99" s="3391"/>
      <c r="O99" s="3391"/>
      <c r="P99" s="3392" t="s">
        <v>543</v>
      </c>
      <c r="Q99" s="3392"/>
      <c r="R99" s="3392"/>
      <c r="S99" s="3393" t="s">
        <v>544</v>
      </c>
      <c r="T99" s="3393"/>
      <c r="V99" s="412" t="s">
        <v>508</v>
      </c>
      <c r="W99" s="432" t="str">
        <f t="shared" si="13"/>
        <v/>
      </c>
      <c r="X99" s="433"/>
      <c r="Y99" s="434"/>
      <c r="Z99" s="357">
        <v>36.75</v>
      </c>
    </row>
    <row r="100" spans="1:26" ht="17.25" customHeight="1">
      <c r="A100" s="351">
        <v>0</v>
      </c>
      <c r="B100" s="481" t="s">
        <v>545</v>
      </c>
      <c r="C100" s="482" t="s">
        <v>546</v>
      </c>
      <c r="D100" s="3384">
        <v>0</v>
      </c>
      <c r="E100" s="3384"/>
      <c r="F100" s="483">
        <v>0</v>
      </c>
      <c r="G100" s="484">
        <v>0</v>
      </c>
      <c r="H100" s="485">
        <v>0</v>
      </c>
      <c r="I100" s="486">
        <v>0</v>
      </c>
      <c r="J100" s="486">
        <v>0</v>
      </c>
      <c r="K100" s="484">
        <v>0</v>
      </c>
      <c r="L100" s="487">
        <v>0</v>
      </c>
      <c r="M100" s="3385">
        <v>0</v>
      </c>
      <c r="N100" s="3385"/>
      <c r="O100" s="3385"/>
      <c r="P100" s="3379">
        <v>0</v>
      </c>
      <c r="Q100" s="3379"/>
      <c r="R100" s="3379"/>
      <c r="S100" s="3380">
        <v>0</v>
      </c>
      <c r="T100" s="3380"/>
      <c r="V100" s="412" t="s">
        <v>508</v>
      </c>
      <c r="W100" s="432" t="str">
        <f t="shared" si="13"/>
        <v/>
      </c>
      <c r="X100" s="433"/>
      <c r="Y100" s="434"/>
      <c r="Z100" s="357">
        <v>17.25</v>
      </c>
    </row>
    <row r="101" spans="1:26" ht="17.25" customHeight="1">
      <c r="A101" s="351">
        <v>0</v>
      </c>
      <c r="B101" s="481" t="s">
        <v>547</v>
      </c>
      <c r="C101" s="482" t="s">
        <v>548</v>
      </c>
      <c r="D101" s="3384">
        <v>0</v>
      </c>
      <c r="E101" s="3384"/>
      <c r="F101" s="483">
        <v>0</v>
      </c>
      <c r="G101" s="484">
        <v>0</v>
      </c>
      <c r="H101" s="485">
        <v>0</v>
      </c>
      <c r="I101" s="486">
        <v>0</v>
      </c>
      <c r="J101" s="486">
        <v>0</v>
      </c>
      <c r="K101" s="484">
        <v>0</v>
      </c>
      <c r="L101" s="487">
        <v>0</v>
      </c>
      <c r="M101" s="3385">
        <v>0</v>
      </c>
      <c r="N101" s="3385"/>
      <c r="O101" s="3385"/>
      <c r="P101" s="3379">
        <v>0</v>
      </c>
      <c r="Q101" s="3379"/>
      <c r="R101" s="3379"/>
      <c r="S101" s="3380">
        <v>0</v>
      </c>
      <c r="T101" s="3380"/>
      <c r="V101" s="412" t="s">
        <v>508</v>
      </c>
      <c r="W101" s="432" t="str">
        <f t="shared" si="13"/>
        <v/>
      </c>
      <c r="X101" s="433"/>
      <c r="Y101" s="434"/>
      <c r="Z101" s="357">
        <v>17.25</v>
      </c>
    </row>
    <row r="102" spans="1:26" ht="17.25" customHeight="1">
      <c r="A102" s="351">
        <v>0</v>
      </c>
      <c r="B102" s="481" t="s">
        <v>549</v>
      </c>
      <c r="C102" s="482" t="s">
        <v>548</v>
      </c>
      <c r="D102" s="3384">
        <v>0</v>
      </c>
      <c r="E102" s="3384"/>
      <c r="F102" s="483">
        <v>0</v>
      </c>
      <c r="G102" s="484">
        <v>0</v>
      </c>
      <c r="H102" s="485">
        <v>0</v>
      </c>
      <c r="I102" s="486">
        <v>0</v>
      </c>
      <c r="J102" s="486">
        <v>0</v>
      </c>
      <c r="K102" s="484">
        <v>0</v>
      </c>
      <c r="L102" s="487">
        <v>0</v>
      </c>
      <c r="M102" s="3385">
        <v>0</v>
      </c>
      <c r="N102" s="3385"/>
      <c r="O102" s="3385"/>
      <c r="P102" s="3379">
        <v>0</v>
      </c>
      <c r="Q102" s="3379"/>
      <c r="R102" s="3379"/>
      <c r="S102" s="3380">
        <v>0</v>
      </c>
      <c r="T102" s="3380"/>
      <c r="V102" s="412" t="s">
        <v>508</v>
      </c>
      <c r="W102" s="432" t="str">
        <f t="shared" si="13"/>
        <v/>
      </c>
      <c r="X102" s="433"/>
      <c r="Y102" s="434"/>
      <c r="Z102" s="357">
        <v>17.25</v>
      </c>
    </row>
    <row r="103" spans="1:26" ht="17.25" customHeight="1">
      <c r="A103" s="351">
        <v>0</v>
      </c>
      <c r="B103" s="481" t="s">
        <v>550</v>
      </c>
      <c r="C103" s="482" t="s">
        <v>551</v>
      </c>
      <c r="D103" s="3384">
        <v>0</v>
      </c>
      <c r="E103" s="3384"/>
      <c r="F103" s="483">
        <v>0</v>
      </c>
      <c r="G103" s="484">
        <v>0</v>
      </c>
      <c r="H103" s="485">
        <v>0</v>
      </c>
      <c r="I103" s="486">
        <v>0</v>
      </c>
      <c r="J103" s="486">
        <v>0</v>
      </c>
      <c r="K103" s="484">
        <v>0</v>
      </c>
      <c r="L103" s="487">
        <v>0</v>
      </c>
      <c r="M103" s="3385">
        <v>0</v>
      </c>
      <c r="N103" s="3385"/>
      <c r="O103" s="3385"/>
      <c r="P103" s="3379">
        <v>0</v>
      </c>
      <c r="Q103" s="3379"/>
      <c r="R103" s="3379"/>
      <c r="S103" s="3380">
        <v>0</v>
      </c>
      <c r="T103" s="3380"/>
      <c r="V103" s="412" t="s">
        <v>508</v>
      </c>
      <c r="W103" s="432" t="str">
        <f t="shared" si="13"/>
        <v/>
      </c>
      <c r="X103" s="433"/>
      <c r="Y103" s="434"/>
      <c r="Z103" s="357">
        <v>17.25</v>
      </c>
    </row>
    <row r="104" spans="1:26" ht="17.25" customHeight="1">
      <c r="B104" s="489"/>
      <c r="C104" s="490" t="s">
        <v>552</v>
      </c>
      <c r="D104" s="3382" t="s">
        <v>553</v>
      </c>
      <c r="E104" s="3382"/>
      <c r="F104" s="3382"/>
      <c r="G104" s="3382"/>
      <c r="H104" s="3382"/>
      <c r="I104" s="3382"/>
      <c r="J104" s="3382"/>
      <c r="K104" s="3382"/>
      <c r="L104" s="3382"/>
      <c r="M104" s="3382"/>
      <c r="N104" s="3382"/>
      <c r="O104" s="3382"/>
      <c r="P104" s="3379">
        <v>0</v>
      </c>
      <c r="Q104" s="3379"/>
      <c r="R104" s="3379"/>
      <c r="S104" s="3380">
        <v>0</v>
      </c>
      <c r="T104" s="3380"/>
      <c r="V104" s="412" t="s">
        <v>508</v>
      </c>
      <c r="W104" s="432" t="str">
        <f t="shared" si="13"/>
        <v/>
      </c>
      <c r="X104" s="433"/>
      <c r="Y104" s="434"/>
      <c r="Z104" s="357">
        <v>17.25</v>
      </c>
    </row>
    <row r="105" spans="1:26" ht="17.25" customHeight="1">
      <c r="A105" s="351">
        <v>0</v>
      </c>
      <c r="B105" s="491"/>
      <c r="C105" s="492" t="s">
        <v>554</v>
      </c>
      <c r="D105" s="493">
        <v>0</v>
      </c>
      <c r="E105" s="493"/>
      <c r="F105" s="494" t="s">
        <v>555</v>
      </c>
      <c r="G105" s="495">
        <f>G7/B106</f>
        <v>0.12125</v>
      </c>
      <c r="H105" s="496"/>
      <c r="I105" s="497" t="s">
        <v>556</v>
      </c>
      <c r="J105" s="3383">
        <f>(G107*G106)+(H107*H106)+(I107*I106)+(M107*M106)</f>
        <v>114</v>
      </c>
      <c r="K105" s="3383"/>
      <c r="L105" s="3383"/>
      <c r="M105" s="3383"/>
      <c r="N105" s="3383"/>
      <c r="O105" s="498">
        <v>0</v>
      </c>
      <c r="P105" s="3379">
        <v>0</v>
      </c>
      <c r="Q105" s="3379"/>
      <c r="R105" s="3379"/>
      <c r="S105" s="3380">
        <v>0</v>
      </c>
      <c r="T105" s="3380"/>
      <c r="V105" s="412" t="s">
        <v>508</v>
      </c>
      <c r="W105" s="432" t="str">
        <f t="shared" si="13"/>
        <v/>
      </c>
      <c r="X105" s="433"/>
      <c r="Y105" s="434"/>
      <c r="Z105" s="357">
        <v>17.25</v>
      </c>
    </row>
    <row r="106" spans="1:26" ht="17.25" customHeight="1">
      <c r="B106" s="499">
        <f>+F4</f>
        <v>8</v>
      </c>
      <c r="C106" s="500" t="str">
        <f>F5</f>
        <v>couverts</v>
      </c>
      <c r="D106" s="501"/>
      <c r="E106" s="501"/>
      <c r="F106" s="502" t="s">
        <v>222</v>
      </c>
      <c r="G106" s="503">
        <v>120</v>
      </c>
      <c r="H106" s="503">
        <v>500</v>
      </c>
      <c r="I106" s="504">
        <v>150</v>
      </c>
      <c r="J106" s="3378" t="s">
        <v>496</v>
      </c>
      <c r="K106" s="3378"/>
      <c r="L106" s="505">
        <v>0</v>
      </c>
      <c r="M106" s="503">
        <v>13</v>
      </c>
      <c r="N106" s="506">
        <f>SUM(G106:M106)</f>
        <v>783</v>
      </c>
      <c r="O106" s="507"/>
      <c r="P106" s="3379">
        <v>0</v>
      </c>
      <c r="Q106" s="3379"/>
      <c r="R106" s="3379"/>
      <c r="S106" s="3380">
        <v>0</v>
      </c>
      <c r="T106" s="3380"/>
      <c r="V106" s="412" t="s">
        <v>508</v>
      </c>
      <c r="W106" s="432" t="str">
        <f t="shared" si="13"/>
        <v/>
      </c>
      <c r="X106" s="433"/>
      <c r="Y106" s="434"/>
      <c r="Z106" s="357">
        <v>17.25</v>
      </c>
    </row>
    <row r="107" spans="1:26" ht="17.25" customHeight="1">
      <c r="B107" s="508"/>
      <c r="C107" s="509" t="s">
        <v>557</v>
      </c>
      <c r="D107" s="510"/>
      <c r="E107" s="510"/>
      <c r="F107" s="511" t="s">
        <v>558</v>
      </c>
      <c r="G107" s="512">
        <v>0.12</v>
      </c>
      <c r="H107" s="512">
        <v>0.14000000000000001</v>
      </c>
      <c r="I107" s="512">
        <v>0.18</v>
      </c>
      <c r="J107" s="513">
        <v>0</v>
      </c>
      <c r="K107" s="513">
        <v>0</v>
      </c>
      <c r="L107" s="514">
        <v>0</v>
      </c>
      <c r="M107" s="512">
        <v>0.2</v>
      </c>
      <c r="N107" s="515">
        <v>0</v>
      </c>
      <c r="O107" s="516">
        <v>0</v>
      </c>
      <c r="P107" s="3379">
        <v>0</v>
      </c>
      <c r="Q107" s="3379"/>
      <c r="R107" s="3379"/>
      <c r="S107" s="3380">
        <v>0</v>
      </c>
      <c r="T107" s="3380"/>
      <c r="V107" s="412" t="s">
        <v>508</v>
      </c>
      <c r="W107" s="432" t="str">
        <f t="shared" si="13"/>
        <v/>
      </c>
      <c r="X107" s="433"/>
      <c r="Y107" s="434"/>
      <c r="Z107" s="357">
        <v>17.25</v>
      </c>
    </row>
    <row r="108" spans="1:26" ht="17.25" customHeight="1">
      <c r="B108" s="508"/>
      <c r="C108" s="509" t="s">
        <v>559</v>
      </c>
      <c r="D108" s="510">
        <v>0</v>
      </c>
      <c r="E108" s="510">
        <v>0</v>
      </c>
      <c r="F108" s="363">
        <v>0</v>
      </c>
      <c r="G108" s="517" t="s">
        <v>228</v>
      </c>
      <c r="H108" s="518" t="s">
        <v>229</v>
      </c>
      <c r="I108" s="519" t="s">
        <v>230</v>
      </c>
      <c r="J108" s="520">
        <v>0</v>
      </c>
      <c r="K108" s="520">
        <v>0</v>
      </c>
      <c r="L108" s="480">
        <v>0</v>
      </c>
      <c r="M108" s="518" t="s">
        <v>215</v>
      </c>
      <c r="N108" s="521" t="s">
        <v>225</v>
      </c>
      <c r="O108" s="522">
        <v>35</v>
      </c>
      <c r="P108" s="3379">
        <v>0</v>
      </c>
      <c r="Q108" s="3379"/>
      <c r="R108" s="3379"/>
      <c r="S108" s="3380">
        <v>0</v>
      </c>
      <c r="T108" s="3380"/>
      <c r="V108" s="412" t="s">
        <v>508</v>
      </c>
      <c r="W108" s="432" t="str">
        <f t="shared" si="13"/>
        <v/>
      </c>
      <c r="X108" s="433"/>
      <c r="Y108" s="434"/>
      <c r="Z108" s="357">
        <v>17.25</v>
      </c>
    </row>
    <row r="109" spans="1:26" ht="17.25" customHeight="1">
      <c r="B109" s="523">
        <v>0</v>
      </c>
      <c r="C109" s="524">
        <f>J105/G105</f>
        <v>940.20618556701038</v>
      </c>
      <c r="D109" s="501">
        <v>0</v>
      </c>
      <c r="E109" s="525">
        <v>0</v>
      </c>
      <c r="F109" s="526" t="s">
        <v>560</v>
      </c>
      <c r="G109" s="527">
        <f>G107*G106</f>
        <v>14.399999999999999</v>
      </c>
      <c r="H109" s="527">
        <f>H107*H106</f>
        <v>70</v>
      </c>
      <c r="I109" s="527">
        <f>I107*I106</f>
        <v>27</v>
      </c>
      <c r="J109" s="520">
        <v>0</v>
      </c>
      <c r="K109" s="520">
        <v>0</v>
      </c>
      <c r="L109" s="480">
        <v>0</v>
      </c>
      <c r="M109" s="527">
        <f>M107*M106</f>
        <v>2.6</v>
      </c>
      <c r="N109" s="528" t="s">
        <v>561</v>
      </c>
      <c r="O109" s="529"/>
      <c r="P109" s="3379">
        <v>0</v>
      </c>
      <c r="Q109" s="3379"/>
      <c r="R109" s="3379"/>
      <c r="S109" s="3380">
        <v>0</v>
      </c>
      <c r="T109" s="3380"/>
      <c r="V109" s="412" t="s">
        <v>508</v>
      </c>
      <c r="W109" s="432" t="str">
        <f t="shared" si="13"/>
        <v/>
      </c>
      <c r="X109" s="433"/>
      <c r="Y109" s="434"/>
      <c r="Z109" s="357">
        <v>17.25</v>
      </c>
    </row>
    <row r="110" spans="1:26" ht="17.25" customHeight="1">
      <c r="B110" s="530" t="s">
        <v>562</v>
      </c>
      <c r="C110" s="531">
        <f>N110-J105</f>
        <v>61.384615384615387</v>
      </c>
      <c r="D110" s="501"/>
      <c r="E110" s="525"/>
      <c r="F110" s="532" t="s">
        <v>234</v>
      </c>
      <c r="G110" s="533">
        <f>G109/(100-O108)*100</f>
        <v>22.153846153846153</v>
      </c>
      <c r="H110" s="533">
        <f>H109/(100-O108)*100</f>
        <v>107.69230769230769</v>
      </c>
      <c r="I110" s="533">
        <f>I109/(100-O108)*100</f>
        <v>41.53846153846154</v>
      </c>
      <c r="J110" s="513"/>
      <c r="K110" s="513"/>
      <c r="L110" s="534">
        <v>0</v>
      </c>
      <c r="M110" s="535">
        <f>M109/(100-O108)*100</f>
        <v>4</v>
      </c>
      <c r="N110" s="3381">
        <f>J105/(100-O108)*100</f>
        <v>175.38461538461539</v>
      </c>
      <c r="O110" s="3381"/>
      <c r="P110" s="3379">
        <v>0</v>
      </c>
      <c r="Q110" s="3379"/>
      <c r="R110" s="3379"/>
      <c r="S110" s="3380">
        <v>0</v>
      </c>
      <c r="T110" s="3380"/>
      <c r="V110" s="412" t="s">
        <v>508</v>
      </c>
      <c r="W110" s="432" t="str">
        <f>IF(LEN(C110)&gt;255," STOP 255 caractères maxi "&amp;(LEN(C110)-255)&amp;" caractères de trop.","")</f>
        <v/>
      </c>
      <c r="X110" s="433"/>
      <c r="Y110" s="434"/>
      <c r="Z110" s="357">
        <v>17.25</v>
      </c>
    </row>
    <row r="111" spans="1:26" ht="17.25" customHeight="1">
      <c r="B111" s="536"/>
      <c r="C111" s="537">
        <v>0</v>
      </c>
      <c r="D111" s="537">
        <v>0</v>
      </c>
      <c r="E111" s="537">
        <v>0</v>
      </c>
      <c r="F111" s="537">
        <v>0</v>
      </c>
      <c r="G111" s="537">
        <v>0</v>
      </c>
      <c r="H111" s="537">
        <v>0</v>
      </c>
      <c r="I111" s="537">
        <v>0</v>
      </c>
      <c r="J111" s="537">
        <v>0</v>
      </c>
      <c r="K111" s="537">
        <v>0</v>
      </c>
      <c r="L111" s="538">
        <v>0</v>
      </c>
      <c r="M111" s="537">
        <v>0</v>
      </c>
      <c r="N111" s="537">
        <v>0</v>
      </c>
      <c r="O111" s="539" t="s">
        <v>531</v>
      </c>
      <c r="P111" s="540">
        <v>0</v>
      </c>
      <c r="Q111" s="541">
        <v>0</v>
      </c>
      <c r="R111" s="541">
        <v>0</v>
      </c>
      <c r="S111" s="541">
        <v>0</v>
      </c>
      <c r="T111" s="469" t="s">
        <v>531</v>
      </c>
      <c r="V111" s="542">
        <v>0</v>
      </c>
      <c r="W111" s="542">
        <v>0</v>
      </c>
      <c r="X111" s="542">
        <v>0</v>
      </c>
      <c r="Y111" s="542">
        <v>0</v>
      </c>
      <c r="Z111" s="542">
        <v>0</v>
      </c>
    </row>
    <row r="112" spans="1:26" ht="15" customHeight="1"/>
    <row r="113" spans="2:26" ht="15" customHeight="1">
      <c r="B113" s="543">
        <v>6.14</v>
      </c>
      <c r="C113" s="543">
        <v>30</v>
      </c>
      <c r="D113" s="543">
        <v>6.57</v>
      </c>
      <c r="E113" s="543">
        <v>9</v>
      </c>
      <c r="F113" s="543">
        <v>11</v>
      </c>
      <c r="G113" s="543">
        <v>8.86</v>
      </c>
      <c r="H113" s="543">
        <v>10.29</v>
      </c>
      <c r="I113" s="543">
        <v>9.57</v>
      </c>
      <c r="J113" s="543">
        <v>4.8600000000000003</v>
      </c>
      <c r="K113" s="543">
        <v>4.8600000000000003</v>
      </c>
      <c r="L113" s="543">
        <v>1.1399999999999999</v>
      </c>
      <c r="M113" s="543">
        <v>8</v>
      </c>
      <c r="N113" s="543">
        <v>7.86</v>
      </c>
      <c r="O113" s="544">
        <v>9.43</v>
      </c>
      <c r="P113" s="545">
        <v>4</v>
      </c>
      <c r="Q113" s="475">
        <v>26.57</v>
      </c>
      <c r="R113" s="475">
        <v>24</v>
      </c>
      <c r="S113" s="475">
        <v>24.43</v>
      </c>
      <c r="T113" s="475">
        <v>17</v>
      </c>
      <c r="V113" s="475"/>
      <c r="W113" s="475">
        <v>35.14</v>
      </c>
      <c r="X113" s="475">
        <v>35.14</v>
      </c>
      <c r="Y113" s="475">
        <v>35.14</v>
      </c>
      <c r="Z113" s="475">
        <v>10.71</v>
      </c>
    </row>
    <row r="114" spans="2:26" ht="15" customHeight="1">
      <c r="B114" s="543"/>
      <c r="C114" s="543"/>
      <c r="D114" s="543"/>
      <c r="E114" s="543"/>
      <c r="F114" s="543"/>
      <c r="G114" s="543"/>
      <c r="H114" s="543"/>
      <c r="I114" s="543"/>
      <c r="J114" s="543"/>
      <c r="K114" s="543"/>
      <c r="L114" s="543"/>
      <c r="M114" s="543"/>
      <c r="N114" s="543"/>
      <c r="O114" s="544"/>
      <c r="P114" s="545"/>
      <c r="Q114" s="475"/>
      <c r="R114" s="475"/>
      <c r="S114" s="475"/>
      <c r="T114" s="475"/>
      <c r="V114" s="475"/>
      <c r="W114" s="475"/>
      <c r="X114" s="475"/>
      <c r="Y114" s="475"/>
      <c r="Z114" s="475"/>
    </row>
    <row r="115" spans="2:26">
      <c r="B115" s="546" t="s">
        <v>563</v>
      </c>
    </row>
    <row r="117" spans="2:26" ht="20.25">
      <c r="B117" s="3377" t="s">
        <v>511</v>
      </c>
      <c r="C117" s="3377"/>
      <c r="D117" s="3377"/>
      <c r="E117" s="3377"/>
      <c r="F117" s="3377"/>
      <c r="G117" s="3377"/>
      <c r="H117" s="3377"/>
      <c r="I117" s="3377"/>
      <c r="J117" s="3377"/>
      <c r="K117" s="3377"/>
      <c r="L117" s="3377"/>
      <c r="M117" s="3377"/>
      <c r="N117" s="3377"/>
      <c r="O117" s="3377"/>
    </row>
    <row r="118" spans="2:26" ht="14.25">
      <c r="B118" s="435">
        <v>0</v>
      </c>
      <c r="C118" s="3374" t="s">
        <v>512</v>
      </c>
      <c r="D118" s="3374"/>
      <c r="E118" s="3374"/>
      <c r="F118" s="3374"/>
      <c r="G118" s="3374"/>
      <c r="H118" s="3374"/>
      <c r="I118" s="3374"/>
      <c r="J118" s="3374"/>
      <c r="K118" s="3374"/>
      <c r="L118" s="3374"/>
      <c r="M118" s="3374"/>
      <c r="N118" s="3374"/>
      <c r="O118" s="3374"/>
    </row>
    <row r="119" spans="2:26" ht="14.25">
      <c r="B119" s="390">
        <v>0</v>
      </c>
      <c r="C119" s="436"/>
      <c r="D119" s="437" t="s">
        <v>513</v>
      </c>
      <c r="E119" s="3375" t="s">
        <v>514</v>
      </c>
      <c r="F119" s="3375"/>
      <c r="G119" s="3376" t="s">
        <v>515</v>
      </c>
      <c r="H119" s="3376"/>
      <c r="I119" s="438" t="s">
        <v>516</v>
      </c>
      <c r="J119" s="439"/>
      <c r="K119" s="439"/>
      <c r="L119" s="438"/>
      <c r="M119" s="440"/>
      <c r="N119" s="440"/>
      <c r="O119" s="441"/>
    </row>
    <row r="120" spans="2:26" ht="15.75">
      <c r="B120" s="390">
        <v>0</v>
      </c>
      <c r="C120" s="442"/>
      <c r="D120" s="443" t="s">
        <v>517</v>
      </c>
      <c r="E120" s="547">
        <v>0</v>
      </c>
      <c r="F120" s="548">
        <v>0</v>
      </c>
      <c r="G120" s="547">
        <v>0</v>
      </c>
      <c r="H120" s="548">
        <v>0</v>
      </c>
      <c r="I120" s="446"/>
      <c r="J120" s="447"/>
      <c r="K120" s="447"/>
      <c r="L120" s="446"/>
      <c r="M120" s="446"/>
      <c r="N120" s="446"/>
      <c r="O120" s="448"/>
    </row>
    <row r="121" spans="2:26" ht="14.25">
      <c r="B121" s="390">
        <v>0</v>
      </c>
      <c r="C121" s="449"/>
      <c r="D121" s="443" t="s">
        <v>518</v>
      </c>
      <c r="E121" s="547">
        <v>0</v>
      </c>
      <c r="F121" s="548">
        <v>0</v>
      </c>
      <c r="G121" s="547">
        <v>0</v>
      </c>
      <c r="H121" s="548">
        <v>0</v>
      </c>
      <c r="I121" s="446"/>
      <c r="J121" s="450"/>
      <c r="K121" s="450"/>
      <c r="L121" s="446"/>
      <c r="M121" s="446"/>
      <c r="N121" s="446"/>
      <c r="O121" s="448"/>
    </row>
    <row r="122" spans="2:26" ht="14.25">
      <c r="B122" s="390">
        <v>0</v>
      </c>
      <c r="C122" s="451"/>
      <c r="D122" s="443" t="s">
        <v>519</v>
      </c>
      <c r="E122" s="547">
        <v>0</v>
      </c>
      <c r="F122" s="548">
        <v>0</v>
      </c>
      <c r="G122" s="547">
        <v>0</v>
      </c>
      <c r="H122" s="548">
        <v>0</v>
      </c>
      <c r="I122" s="446"/>
      <c r="J122" s="452"/>
      <c r="K122" s="450"/>
      <c r="L122" s="446"/>
      <c r="M122" s="446"/>
      <c r="N122" s="446"/>
      <c r="O122" s="448"/>
    </row>
    <row r="123" spans="2:26" ht="14.25">
      <c r="B123" s="390">
        <v>0</v>
      </c>
      <c r="C123" s="451"/>
      <c r="D123" s="453" t="s">
        <v>520</v>
      </c>
      <c r="E123" s="547">
        <v>0</v>
      </c>
      <c r="F123" s="548">
        <v>0</v>
      </c>
      <c r="G123" s="547">
        <v>0</v>
      </c>
      <c r="H123" s="548">
        <v>0</v>
      </c>
      <c r="I123" s="446"/>
      <c r="J123" s="450"/>
      <c r="K123" s="450"/>
      <c r="L123" s="446"/>
      <c r="M123" s="446"/>
      <c r="N123" s="446"/>
      <c r="O123" s="448"/>
    </row>
    <row r="124" spans="2:26" ht="14.25">
      <c r="B124" s="390">
        <v>0</v>
      </c>
      <c r="C124" s="451"/>
      <c r="D124" s="3375" t="s">
        <v>521</v>
      </c>
      <c r="E124" s="3375"/>
      <c r="F124" s="454" t="s">
        <v>522</v>
      </c>
      <c r="G124" s="3375" t="s">
        <v>523</v>
      </c>
      <c r="H124" s="3375"/>
      <c r="I124" s="446"/>
      <c r="J124" s="450"/>
      <c r="K124" s="450"/>
      <c r="L124" s="446"/>
      <c r="M124" s="446"/>
      <c r="N124" s="446"/>
      <c r="O124" s="448"/>
    </row>
    <row r="125" spans="2:26" ht="14.25">
      <c r="B125" s="390">
        <v>0</v>
      </c>
      <c r="C125" s="443" t="s">
        <v>524</v>
      </c>
      <c r="D125" s="549">
        <v>0</v>
      </c>
      <c r="E125" s="550">
        <v>0</v>
      </c>
      <c r="F125" s="551">
        <v>0</v>
      </c>
      <c r="G125" s="547">
        <v>0</v>
      </c>
      <c r="H125" s="548">
        <v>0</v>
      </c>
      <c r="I125" s="446"/>
      <c r="J125" s="450"/>
      <c r="K125" s="450"/>
      <c r="L125" s="446"/>
      <c r="M125" s="446"/>
      <c r="N125" s="446"/>
      <c r="O125" s="448"/>
    </row>
    <row r="126" spans="2:26" ht="14.25">
      <c r="B126" s="390">
        <v>0</v>
      </c>
      <c r="C126" s="443" t="s">
        <v>525</v>
      </c>
      <c r="D126" s="549">
        <v>0</v>
      </c>
      <c r="E126" s="550">
        <v>0</v>
      </c>
      <c r="F126" s="551">
        <v>0</v>
      </c>
      <c r="G126" s="547">
        <v>0</v>
      </c>
      <c r="H126" s="548">
        <v>0</v>
      </c>
      <c r="I126" s="446"/>
      <c r="J126" s="450"/>
      <c r="K126" s="450"/>
      <c r="L126" s="446"/>
      <c r="M126" s="446"/>
      <c r="N126" s="446"/>
      <c r="O126" s="448"/>
    </row>
    <row r="127" spans="2:26" ht="14.25">
      <c r="B127" s="390">
        <v>0</v>
      </c>
      <c r="C127" s="443" t="s">
        <v>526</v>
      </c>
      <c r="D127" s="549">
        <v>0</v>
      </c>
      <c r="E127" s="550">
        <v>0</v>
      </c>
      <c r="F127" s="551">
        <v>0</v>
      </c>
      <c r="G127" s="547">
        <v>0</v>
      </c>
      <c r="H127" s="548">
        <v>0</v>
      </c>
      <c r="I127" s="446"/>
      <c r="J127" s="450"/>
      <c r="K127" s="450"/>
      <c r="L127" s="446"/>
      <c r="M127" s="446"/>
      <c r="N127" s="446"/>
      <c r="O127" s="448"/>
    </row>
    <row r="128" spans="2:26" ht="14.25">
      <c r="B128" s="390">
        <v>0</v>
      </c>
      <c r="C128" s="443" t="s">
        <v>527</v>
      </c>
      <c r="D128" s="549">
        <v>0</v>
      </c>
      <c r="E128" s="550">
        <v>0</v>
      </c>
      <c r="F128" s="551">
        <v>0</v>
      </c>
      <c r="G128" s="547">
        <v>0</v>
      </c>
      <c r="H128" s="548">
        <v>0</v>
      </c>
      <c r="I128" s="446"/>
      <c r="J128" s="450"/>
      <c r="K128" s="450"/>
      <c r="L128" s="446"/>
      <c r="M128" s="446"/>
      <c r="N128" s="446"/>
      <c r="O128" s="448"/>
    </row>
    <row r="129" spans="2:15" ht="15">
      <c r="B129" s="390">
        <v>0</v>
      </c>
      <c r="C129" s="458" t="s">
        <v>528</v>
      </c>
      <c r="D129" s="549">
        <v>0</v>
      </c>
      <c r="E129" s="550">
        <v>0</v>
      </c>
      <c r="F129" s="459" t="s">
        <v>529</v>
      </c>
      <c r="G129" s="460"/>
      <c r="H129" s="552"/>
      <c r="I129" s="446"/>
      <c r="J129" s="450"/>
      <c r="K129" s="450"/>
      <c r="L129" s="446"/>
      <c r="M129" s="446"/>
      <c r="N129" s="446"/>
      <c r="O129" s="448"/>
    </row>
    <row r="130" spans="2:15" ht="24">
      <c r="B130" s="462">
        <v>0</v>
      </c>
      <c r="C130" s="463" t="s">
        <v>528</v>
      </c>
      <c r="D130" s="553">
        <v>0</v>
      </c>
      <c r="E130" s="554">
        <v>0</v>
      </c>
      <c r="F130" s="466" t="s">
        <v>530</v>
      </c>
      <c r="G130" s="467"/>
      <c r="H130" s="467"/>
      <c r="I130" s="467"/>
      <c r="J130" s="468"/>
      <c r="K130" s="468"/>
      <c r="L130" s="468"/>
      <c r="M130" s="468"/>
      <c r="N130" s="468"/>
      <c r="O130" s="469" t="s">
        <v>531</v>
      </c>
    </row>
    <row r="133" spans="2:15" ht="20.25">
      <c r="B133" s="3377" t="s">
        <v>564</v>
      </c>
      <c r="C133" s="3377"/>
      <c r="D133" s="3377"/>
      <c r="E133" s="3377"/>
      <c r="F133" s="3377"/>
      <c r="G133" s="3377"/>
      <c r="H133" s="3377"/>
      <c r="I133" s="3377"/>
      <c r="J133" s="3377"/>
      <c r="K133" s="3377"/>
      <c r="L133" s="3377"/>
      <c r="M133" s="3377"/>
      <c r="N133" s="3377"/>
      <c r="O133" s="3377"/>
    </row>
    <row r="134" spans="2:15" ht="14.25">
      <c r="B134" s="435">
        <v>0</v>
      </c>
      <c r="C134" s="3374" t="s">
        <v>565</v>
      </c>
      <c r="D134" s="3374"/>
      <c r="E134" s="3374"/>
      <c r="F134" s="3374"/>
      <c r="G134" s="3374"/>
      <c r="H134" s="3374"/>
      <c r="I134" s="3374"/>
      <c r="J134" s="3374"/>
      <c r="K134" s="3374"/>
      <c r="L134" s="3374"/>
      <c r="M134" s="3374"/>
      <c r="N134" s="3374"/>
      <c r="O134" s="3374"/>
    </row>
    <row r="135" spans="2:15" ht="15">
      <c r="B135" s="555"/>
      <c r="C135" s="556" t="s">
        <v>566</v>
      </c>
      <c r="D135" s="557">
        <v>100</v>
      </c>
      <c r="E135" s="558" t="s">
        <v>223</v>
      </c>
      <c r="F135" s="559"/>
      <c r="G135" s="560"/>
      <c r="H135" s="561" t="s">
        <v>567</v>
      </c>
      <c r="I135" s="562" t="s">
        <v>516</v>
      </c>
      <c r="J135" s="563">
        <f>J7</f>
        <v>8</v>
      </c>
      <c r="K135" s="564">
        <f>K7</f>
        <v>20</v>
      </c>
      <c r="L135" s="565">
        <f>D135</f>
        <v>100</v>
      </c>
      <c r="M135" s="566"/>
      <c r="N135" s="566"/>
      <c r="O135" s="567"/>
    </row>
    <row r="136" spans="2:15" ht="15">
      <c r="B136" s="555"/>
      <c r="C136" s="568" t="s">
        <v>568</v>
      </c>
      <c r="D136" s="569">
        <v>7.0000000000000007E-2</v>
      </c>
      <c r="E136" s="570" t="s">
        <v>45</v>
      </c>
      <c r="F136" s="559"/>
      <c r="G136" s="571">
        <v>0</v>
      </c>
      <c r="H136" s="572"/>
      <c r="I136" s="573"/>
      <c r="J136" s="400">
        <f>J7</f>
        <v>8</v>
      </c>
      <c r="K136" s="400">
        <f>K7</f>
        <v>20</v>
      </c>
      <c r="L136" s="574">
        <f>L135</f>
        <v>100</v>
      </c>
      <c r="M136" s="446"/>
      <c r="N136" s="446"/>
      <c r="O136" s="448"/>
    </row>
    <row r="137" spans="2:15" ht="15">
      <c r="B137" s="555">
        <v>0</v>
      </c>
      <c r="C137" s="568" t="s">
        <v>569</v>
      </c>
      <c r="D137" s="575">
        <v>3.125E-2</v>
      </c>
      <c r="E137" s="576"/>
      <c r="F137" s="576"/>
      <c r="G137" s="571">
        <v>0</v>
      </c>
      <c r="H137" s="572"/>
      <c r="I137" s="573"/>
      <c r="J137" s="400">
        <f>J7</f>
        <v>8</v>
      </c>
      <c r="K137" s="400">
        <f>K7</f>
        <v>20</v>
      </c>
      <c r="L137" s="574">
        <f>L135</f>
        <v>100</v>
      </c>
      <c r="M137" s="446"/>
      <c r="N137" s="446"/>
      <c r="O137" s="448"/>
    </row>
    <row r="138" spans="2:15" ht="15">
      <c r="B138" s="555">
        <v>0</v>
      </c>
      <c r="C138" s="568" t="s">
        <v>570</v>
      </c>
      <c r="D138" s="575">
        <v>3.125E-2</v>
      </c>
      <c r="E138" s="576"/>
      <c r="F138" s="576"/>
      <c r="G138" s="571">
        <v>0</v>
      </c>
      <c r="H138" s="572"/>
      <c r="I138" s="573"/>
      <c r="J138" s="400">
        <f>J7</f>
        <v>8</v>
      </c>
      <c r="K138" s="400">
        <f>K7</f>
        <v>20</v>
      </c>
      <c r="L138" s="574">
        <f>L135</f>
        <v>100</v>
      </c>
      <c r="M138" s="446"/>
      <c r="N138" s="446"/>
      <c r="O138" s="448"/>
    </row>
    <row r="139" spans="2:15" ht="15">
      <c r="B139" s="577">
        <v>0</v>
      </c>
      <c r="C139" s="578" t="s">
        <v>571</v>
      </c>
      <c r="D139" s="579">
        <f>L139</f>
        <v>100</v>
      </c>
      <c r="E139" s="580">
        <f>K139</f>
        <v>20</v>
      </c>
      <c r="F139" s="581">
        <v>500</v>
      </c>
      <c r="G139" s="571">
        <v>0</v>
      </c>
      <c r="H139" s="572"/>
      <c r="I139" s="573"/>
      <c r="J139" s="400">
        <f>J7</f>
        <v>8</v>
      </c>
      <c r="K139" s="400">
        <f>K7</f>
        <v>20</v>
      </c>
      <c r="L139" s="574">
        <f>L135</f>
        <v>100</v>
      </c>
      <c r="M139" s="446"/>
      <c r="N139" s="446"/>
      <c r="O139" s="448"/>
    </row>
    <row r="140" spans="2:15" ht="15">
      <c r="B140" s="390">
        <v>1</v>
      </c>
      <c r="C140" s="572">
        <v>0</v>
      </c>
      <c r="D140" s="582">
        <v>2</v>
      </c>
      <c r="E140" s="363">
        <f>(D140/L140)*K140</f>
        <v>0.4</v>
      </c>
      <c r="F140" s="363">
        <f>(D140/L140)*F139</f>
        <v>10</v>
      </c>
      <c r="G140" s="571">
        <v>0</v>
      </c>
      <c r="H140" s="583"/>
      <c r="I140" s="573"/>
      <c r="J140" s="400">
        <f>J7</f>
        <v>8</v>
      </c>
      <c r="K140" s="400">
        <f>K7</f>
        <v>20</v>
      </c>
      <c r="L140" s="574">
        <f>L135</f>
        <v>100</v>
      </c>
      <c r="M140" s="446"/>
      <c r="N140" s="446"/>
      <c r="O140" s="448"/>
    </row>
    <row r="141" spans="2:15" ht="15">
      <c r="B141" s="390">
        <v>2</v>
      </c>
      <c r="C141" s="572">
        <v>0</v>
      </c>
      <c r="D141" s="582">
        <v>3</v>
      </c>
      <c r="E141" s="363">
        <f t="shared" ref="E141:E146" si="14">(D141/L141)*K141</f>
        <v>0.6</v>
      </c>
      <c r="F141" s="363">
        <f>(D141/L141)*F139</f>
        <v>15</v>
      </c>
      <c r="G141" s="571">
        <v>0</v>
      </c>
      <c r="H141" s="572"/>
      <c r="I141" s="573"/>
      <c r="J141" s="400">
        <f>J7</f>
        <v>8</v>
      </c>
      <c r="K141" s="400">
        <f>K7</f>
        <v>20</v>
      </c>
      <c r="L141" s="574">
        <f>L135</f>
        <v>100</v>
      </c>
      <c r="M141" s="446"/>
      <c r="N141" s="446"/>
      <c r="O141" s="448"/>
    </row>
    <row r="142" spans="2:15" ht="15">
      <c r="B142" s="390">
        <v>3</v>
      </c>
      <c r="C142" s="572">
        <v>0</v>
      </c>
      <c r="D142" s="582">
        <v>4</v>
      </c>
      <c r="E142" s="363">
        <f t="shared" si="14"/>
        <v>0.8</v>
      </c>
      <c r="F142" s="363">
        <f>(D142/L142)*F139</f>
        <v>20</v>
      </c>
      <c r="G142" s="571">
        <v>0</v>
      </c>
      <c r="H142" s="572"/>
      <c r="I142" s="573"/>
      <c r="J142" s="400">
        <f>J7</f>
        <v>8</v>
      </c>
      <c r="K142" s="400">
        <f>K7</f>
        <v>20</v>
      </c>
      <c r="L142" s="574">
        <f>L135</f>
        <v>100</v>
      </c>
      <c r="M142" s="446"/>
      <c r="N142" s="446"/>
      <c r="O142" s="448"/>
    </row>
    <row r="143" spans="2:15" ht="15">
      <c r="B143" s="390">
        <v>4</v>
      </c>
      <c r="C143" s="572">
        <v>0</v>
      </c>
      <c r="D143" s="582">
        <v>5</v>
      </c>
      <c r="E143" s="363">
        <f t="shared" si="14"/>
        <v>1</v>
      </c>
      <c r="F143" s="363">
        <f>(D143/L143)*F139</f>
        <v>25</v>
      </c>
      <c r="G143" s="571">
        <v>0</v>
      </c>
      <c r="H143" s="572"/>
      <c r="I143" s="573"/>
      <c r="J143" s="400">
        <f>J7</f>
        <v>8</v>
      </c>
      <c r="K143" s="400">
        <f>K7</f>
        <v>20</v>
      </c>
      <c r="L143" s="574">
        <f>L135</f>
        <v>100</v>
      </c>
      <c r="M143" s="446"/>
      <c r="N143" s="446"/>
      <c r="O143" s="448"/>
    </row>
    <row r="144" spans="2:15" ht="15">
      <c r="B144" s="390">
        <v>5</v>
      </c>
      <c r="C144" s="572">
        <v>0</v>
      </c>
      <c r="D144" s="582">
        <v>6</v>
      </c>
      <c r="E144" s="363">
        <f t="shared" si="14"/>
        <v>1.2</v>
      </c>
      <c r="F144" s="363">
        <f>(D144/L144)*F139</f>
        <v>30</v>
      </c>
      <c r="G144" s="571">
        <v>0</v>
      </c>
      <c r="H144" s="572"/>
      <c r="I144" s="573"/>
      <c r="J144" s="400">
        <f>J7</f>
        <v>8</v>
      </c>
      <c r="K144" s="400">
        <f>K7</f>
        <v>20</v>
      </c>
      <c r="L144" s="574">
        <f>L135</f>
        <v>100</v>
      </c>
      <c r="M144" s="446"/>
      <c r="N144" s="446"/>
      <c r="O144" s="448"/>
    </row>
    <row r="145" spans="2:15" ht="15">
      <c r="B145" s="390">
        <v>6</v>
      </c>
      <c r="C145" s="572">
        <v>0</v>
      </c>
      <c r="D145" s="582">
        <v>7</v>
      </c>
      <c r="E145" s="363">
        <f t="shared" si="14"/>
        <v>1.4000000000000001</v>
      </c>
      <c r="F145" s="363">
        <f>(D145/L145)*F139</f>
        <v>35</v>
      </c>
      <c r="G145" s="571">
        <v>0</v>
      </c>
      <c r="H145" s="583"/>
      <c r="I145" s="573"/>
      <c r="J145" s="400">
        <f>J7</f>
        <v>8</v>
      </c>
      <c r="K145" s="400">
        <f>K7</f>
        <v>20</v>
      </c>
      <c r="L145" s="574">
        <f>L135</f>
        <v>100</v>
      </c>
      <c r="M145" s="446"/>
      <c r="N145" s="446"/>
      <c r="O145" s="448"/>
    </row>
    <row r="146" spans="2:15" ht="24">
      <c r="B146" s="462">
        <v>7</v>
      </c>
      <c r="C146" s="584">
        <v>0</v>
      </c>
      <c r="D146" s="585">
        <v>8</v>
      </c>
      <c r="E146" s="586">
        <f t="shared" si="14"/>
        <v>1.6</v>
      </c>
      <c r="F146" s="586">
        <f>(D146/L146)*F139</f>
        <v>40</v>
      </c>
      <c r="G146" s="587">
        <v>0</v>
      </c>
      <c r="H146" s="588"/>
      <c r="I146" s="589"/>
      <c r="J146" s="590">
        <f>J7</f>
        <v>8</v>
      </c>
      <c r="K146" s="590">
        <f>K7</f>
        <v>20</v>
      </c>
      <c r="L146" s="591">
        <f>L135</f>
        <v>100</v>
      </c>
      <c r="M146" s="468"/>
      <c r="N146" s="468"/>
      <c r="O146" s="469" t="s">
        <v>531</v>
      </c>
    </row>
    <row r="149" spans="2:15">
      <c r="D149" s="592" t="s">
        <v>572</v>
      </c>
    </row>
    <row r="150" spans="2:15">
      <c r="D150" s="592" t="s">
        <v>573</v>
      </c>
    </row>
  </sheetData>
  <mergeCells count="86">
    <mergeCell ref="W6:Y6"/>
    <mergeCell ref="B2:M2"/>
    <mergeCell ref="N2:O2"/>
    <mergeCell ref="P2:S3"/>
    <mergeCell ref="V2:V8"/>
    <mergeCell ref="C3:M3"/>
    <mergeCell ref="N3:O3"/>
    <mergeCell ref="G4:H4"/>
    <mergeCell ref="I4:I5"/>
    <mergeCell ref="M4:O4"/>
    <mergeCell ref="P4:Q6"/>
    <mergeCell ref="R4:R6"/>
    <mergeCell ref="S4:T6"/>
    <mergeCell ref="M5:O5"/>
    <mergeCell ref="B6:C6"/>
    <mergeCell ref="J6:K6"/>
    <mergeCell ref="Q7:T7"/>
    <mergeCell ref="W8:Y8"/>
    <mergeCell ref="B84:O84"/>
    <mergeCell ref="Q84:T84"/>
    <mergeCell ref="C85:O85"/>
    <mergeCell ref="Q85:T85"/>
    <mergeCell ref="Q93:T93"/>
    <mergeCell ref="E86:F86"/>
    <mergeCell ref="G86:H86"/>
    <mergeCell ref="Q86:T86"/>
    <mergeCell ref="Q87:T87"/>
    <mergeCell ref="Q88:T88"/>
    <mergeCell ref="Q89:T89"/>
    <mergeCell ref="Q90:T90"/>
    <mergeCell ref="D91:E91"/>
    <mergeCell ref="G91:H91"/>
    <mergeCell ref="Q91:T91"/>
    <mergeCell ref="Q92:T92"/>
    <mergeCell ref="D99:E99"/>
    <mergeCell ref="I99:J99"/>
    <mergeCell ref="M99:O99"/>
    <mergeCell ref="P99:R99"/>
    <mergeCell ref="S99:T99"/>
    <mergeCell ref="Q94:T94"/>
    <mergeCell ref="Q95:T95"/>
    <mergeCell ref="Q96:T96"/>
    <mergeCell ref="Q97:S97"/>
    <mergeCell ref="P98:T98"/>
    <mergeCell ref="D100:E100"/>
    <mergeCell ref="M100:O100"/>
    <mergeCell ref="P100:R100"/>
    <mergeCell ref="S100:T100"/>
    <mergeCell ref="D101:E101"/>
    <mergeCell ref="M101:O101"/>
    <mergeCell ref="P101:R101"/>
    <mergeCell ref="S101:T101"/>
    <mergeCell ref="D102:E102"/>
    <mergeCell ref="M102:O102"/>
    <mergeCell ref="P102:R102"/>
    <mergeCell ref="S102:T102"/>
    <mergeCell ref="D103:E103"/>
    <mergeCell ref="M103:O103"/>
    <mergeCell ref="P103:R103"/>
    <mergeCell ref="S103:T103"/>
    <mergeCell ref="D104:O104"/>
    <mergeCell ref="P104:R104"/>
    <mergeCell ref="S104:T104"/>
    <mergeCell ref="J105:N105"/>
    <mergeCell ref="P105:R105"/>
    <mergeCell ref="S105:T105"/>
    <mergeCell ref="B117:O117"/>
    <mergeCell ref="J106:K106"/>
    <mergeCell ref="P106:R106"/>
    <mergeCell ref="S106:T106"/>
    <mergeCell ref="P107:R107"/>
    <mergeCell ref="S107:T107"/>
    <mergeCell ref="P108:R108"/>
    <mergeCell ref="S108:T108"/>
    <mergeCell ref="P109:R109"/>
    <mergeCell ref="S109:T109"/>
    <mergeCell ref="N110:O110"/>
    <mergeCell ref="P110:R110"/>
    <mergeCell ref="S110:T110"/>
    <mergeCell ref="C134:O134"/>
    <mergeCell ref="C118:O118"/>
    <mergeCell ref="E119:F119"/>
    <mergeCell ref="G119:H119"/>
    <mergeCell ref="D124:E124"/>
    <mergeCell ref="G124:H124"/>
    <mergeCell ref="B133:O133"/>
  </mergeCells>
  <printOptions horizontalCentered="1"/>
  <pageMargins left="0.59027777777777779" right="0" top="0.59027777777777779" bottom="0" header="0.51180555555555562" footer="0.51180555555555562"/>
  <pageSetup paperSize="9" scale="26" firstPageNumber="0"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AC22"/>
  <sheetViews>
    <sheetView zoomScale="75" zoomScaleNormal="75" workbookViewId="0">
      <selection activeCell="U26" sqref="U26"/>
    </sheetView>
  </sheetViews>
  <sheetFormatPr baseColWidth="10" defaultRowHeight="12.75"/>
  <cols>
    <col min="1" max="16384" width="11.42578125" style="755"/>
  </cols>
  <sheetData>
    <row r="1" spans="1:29" ht="30" customHeight="1">
      <c r="A1" s="752"/>
      <c r="B1" s="752"/>
      <c r="C1" s="752"/>
      <c r="D1" s="752"/>
      <c r="E1" s="752"/>
      <c r="F1" s="752"/>
      <c r="G1" s="752"/>
      <c r="H1" s="752"/>
      <c r="I1" s="752"/>
      <c r="J1" s="752"/>
      <c r="K1" s="752"/>
      <c r="L1" s="753"/>
      <c r="M1" s="753"/>
      <c r="N1" s="753"/>
      <c r="O1" s="753"/>
      <c r="P1" s="753"/>
      <c r="Q1" s="754"/>
      <c r="R1" s="754"/>
      <c r="S1" s="754"/>
      <c r="T1" s="754"/>
      <c r="U1" s="754"/>
      <c r="V1" s="754"/>
      <c r="W1" s="754"/>
      <c r="X1" s="754"/>
      <c r="Y1" s="754"/>
      <c r="Z1" s="754"/>
      <c r="AA1" s="754"/>
      <c r="AB1" s="754"/>
      <c r="AC1" s="754"/>
    </row>
    <row r="2" spans="1:29" ht="30" customHeight="1">
      <c r="A2" s="752"/>
      <c r="B2" s="756" t="s">
        <v>798</v>
      </c>
      <c r="C2" s="752"/>
      <c r="D2" s="752"/>
      <c r="E2" s="752"/>
      <c r="F2" s="752"/>
      <c r="G2" s="752"/>
      <c r="H2" s="752"/>
      <c r="I2" s="753"/>
      <c r="J2" s="752"/>
      <c r="K2" s="752"/>
      <c r="L2" s="753"/>
      <c r="M2" s="753"/>
      <c r="N2" s="753"/>
      <c r="O2" s="753"/>
      <c r="P2" s="753"/>
      <c r="Q2" s="754"/>
      <c r="R2" s="754"/>
      <c r="S2" s="754"/>
      <c r="T2" s="754"/>
      <c r="U2" s="754"/>
      <c r="V2" s="754"/>
      <c r="W2" s="754"/>
      <c r="X2" s="754"/>
      <c r="Y2" s="754"/>
      <c r="Z2" s="754"/>
      <c r="AA2" s="754"/>
      <c r="AB2" s="754"/>
      <c r="AC2" s="754"/>
    </row>
    <row r="3" spans="1:29" ht="30" customHeight="1">
      <c r="A3" s="752"/>
      <c r="B3" s="757" t="s">
        <v>799</v>
      </c>
      <c r="C3" s="758"/>
      <c r="D3" s="752"/>
      <c r="E3" s="752"/>
      <c r="F3" s="752"/>
      <c r="G3" s="752"/>
      <c r="H3" s="752"/>
      <c r="I3" s="753"/>
      <c r="J3" s="752"/>
      <c r="K3" s="752"/>
      <c r="L3" s="753"/>
      <c r="M3" s="753"/>
      <c r="N3" s="753"/>
      <c r="O3" s="753"/>
      <c r="P3" s="753"/>
      <c r="Q3" s="754"/>
      <c r="R3" s="754"/>
      <c r="S3" s="754"/>
      <c r="T3" s="754"/>
      <c r="U3" s="754"/>
      <c r="V3" s="754"/>
      <c r="W3" s="754"/>
      <c r="X3" s="754"/>
      <c r="Y3" s="754"/>
      <c r="Z3" s="754"/>
      <c r="AA3" s="754"/>
      <c r="AB3" s="754"/>
      <c r="AC3" s="754"/>
    </row>
    <row r="4" spans="1:29" ht="30" customHeight="1">
      <c r="A4" s="752"/>
      <c r="B4" s="757" t="s">
        <v>800</v>
      </c>
      <c r="C4" s="758"/>
      <c r="D4" s="752"/>
      <c r="E4" s="752"/>
      <c r="F4" s="752"/>
      <c r="G4" s="752"/>
      <c r="H4" s="752"/>
      <c r="I4" s="753"/>
      <c r="J4" s="752"/>
      <c r="K4" s="752"/>
      <c r="L4" s="753"/>
      <c r="M4" s="753"/>
      <c r="N4" s="753"/>
      <c r="O4" s="753"/>
      <c r="P4" s="753"/>
      <c r="Q4" s="754"/>
      <c r="R4" s="754"/>
      <c r="S4" s="754"/>
      <c r="T4" s="754"/>
      <c r="U4" s="754"/>
      <c r="V4" s="754"/>
      <c r="W4" s="754"/>
      <c r="X4" s="754"/>
      <c r="Y4" s="754"/>
      <c r="Z4" s="754"/>
      <c r="AA4" s="754"/>
      <c r="AB4" s="754"/>
      <c r="AC4" s="754"/>
    </row>
    <row r="5" spans="1:29" ht="30" customHeight="1">
      <c r="A5" s="752"/>
      <c r="B5" s="757" t="s">
        <v>801</v>
      </c>
      <c r="C5" s="758"/>
      <c r="D5" s="752"/>
      <c r="E5" s="752"/>
      <c r="F5" s="752"/>
      <c r="G5" s="752"/>
      <c r="H5" s="752"/>
      <c r="I5" s="753"/>
      <c r="J5" s="752"/>
      <c r="K5" s="752"/>
      <c r="L5" s="753"/>
      <c r="M5" s="753"/>
      <c r="N5" s="753"/>
      <c r="O5" s="753"/>
      <c r="P5" s="753"/>
      <c r="Q5" s="754"/>
      <c r="R5" s="754"/>
      <c r="S5" s="754"/>
      <c r="T5" s="754"/>
      <c r="U5" s="754"/>
      <c r="V5" s="754"/>
      <c r="W5" s="754"/>
      <c r="X5" s="754"/>
      <c r="Y5" s="754"/>
      <c r="Z5" s="754"/>
      <c r="AA5" s="754"/>
      <c r="AB5" s="754"/>
      <c r="AC5" s="754"/>
    </row>
    <row r="6" spans="1:29" ht="30" customHeight="1">
      <c r="A6" s="752"/>
      <c r="B6" s="757" t="s">
        <v>802</v>
      </c>
      <c r="C6" s="752"/>
      <c r="D6" s="752"/>
      <c r="E6" s="752"/>
      <c r="F6" s="752"/>
      <c r="G6" s="752"/>
      <c r="H6" s="752"/>
      <c r="I6" s="753"/>
      <c r="J6" s="752"/>
      <c r="K6" s="752"/>
      <c r="L6" s="753"/>
      <c r="M6" s="753"/>
      <c r="N6" s="753"/>
      <c r="O6" s="753"/>
      <c r="P6" s="753"/>
      <c r="Q6" s="754"/>
      <c r="R6" s="754"/>
      <c r="S6" s="754"/>
      <c r="T6" s="754"/>
      <c r="U6" s="754"/>
      <c r="V6" s="754"/>
      <c r="W6" s="754"/>
      <c r="X6" s="754"/>
      <c r="Y6" s="754"/>
      <c r="Z6" s="754"/>
      <c r="AA6" s="754"/>
      <c r="AB6" s="754"/>
      <c r="AC6" s="754"/>
    </row>
    <row r="7" spans="1:29" ht="30" customHeight="1">
      <c r="A7" s="752"/>
      <c r="B7" s="3416" t="s">
        <v>803</v>
      </c>
      <c r="C7" s="3416"/>
      <c r="D7" s="3416"/>
      <c r="E7" s="3416"/>
      <c r="F7" s="3416"/>
      <c r="G7" s="3416"/>
      <c r="H7" s="3416"/>
      <c r="I7" s="3416"/>
      <c r="J7" s="3416"/>
      <c r="K7" s="3416"/>
      <c r="L7" s="3416"/>
      <c r="M7" s="3416"/>
      <c r="N7" s="753"/>
      <c r="O7" s="753"/>
      <c r="P7" s="753"/>
      <c r="Q7" s="754"/>
      <c r="R7" s="754"/>
      <c r="S7" s="754"/>
      <c r="T7" s="754"/>
      <c r="U7" s="754"/>
      <c r="V7" s="754"/>
      <c r="W7" s="754"/>
      <c r="X7" s="754"/>
      <c r="Y7" s="754"/>
      <c r="Z7" s="754"/>
      <c r="AA7" s="754"/>
      <c r="AB7" s="754"/>
      <c r="AC7" s="754"/>
    </row>
    <row r="8" spans="1:29" ht="30" customHeight="1">
      <c r="A8" s="752"/>
      <c r="B8" s="759"/>
      <c r="C8" s="752"/>
      <c r="D8" s="752"/>
      <c r="E8" s="752"/>
      <c r="F8" s="752"/>
      <c r="G8" s="752"/>
      <c r="H8" s="752"/>
      <c r="I8" s="753"/>
      <c r="J8" s="752"/>
      <c r="K8" s="752"/>
      <c r="L8" s="753"/>
      <c r="M8" s="753"/>
      <c r="N8" s="753"/>
      <c r="O8" s="753"/>
      <c r="P8" s="753"/>
      <c r="Q8" s="754"/>
      <c r="R8" s="754"/>
      <c r="S8" s="754"/>
      <c r="T8" s="754"/>
      <c r="U8" s="754"/>
      <c r="V8" s="754"/>
      <c r="W8" s="754"/>
      <c r="X8" s="754"/>
      <c r="Y8" s="754"/>
      <c r="Z8" s="754"/>
      <c r="AA8" s="754"/>
      <c r="AB8" s="754"/>
      <c r="AC8" s="754"/>
    </row>
    <row r="9" spans="1:29" ht="30" customHeight="1">
      <c r="A9" s="752"/>
      <c r="B9" s="760" t="s">
        <v>804</v>
      </c>
      <c r="C9" s="752"/>
      <c r="D9" s="752"/>
      <c r="E9" s="752"/>
      <c r="F9" s="752"/>
      <c r="G9" s="752"/>
      <c r="H9" s="752"/>
      <c r="I9" s="752"/>
      <c r="J9" s="752"/>
      <c r="K9" s="752"/>
      <c r="L9" s="752"/>
      <c r="M9" s="752"/>
      <c r="N9" s="752"/>
      <c r="O9" s="752"/>
      <c r="P9" s="752"/>
      <c r="Q9" s="752"/>
      <c r="R9" s="752"/>
      <c r="S9" s="754"/>
      <c r="T9" s="754"/>
      <c r="U9" s="754"/>
      <c r="V9" s="754"/>
      <c r="W9" s="754"/>
      <c r="X9" s="754"/>
      <c r="Y9" s="754"/>
      <c r="Z9" s="754"/>
      <c r="AA9" s="754"/>
      <c r="AB9" s="754"/>
      <c r="AC9" s="754"/>
    </row>
    <row r="10" spans="1:29" ht="30" customHeight="1">
      <c r="A10" s="752"/>
      <c r="B10" s="761" t="s">
        <v>805</v>
      </c>
      <c r="C10" s="752"/>
      <c r="D10" s="752"/>
      <c r="E10" s="752"/>
      <c r="F10" s="752"/>
      <c r="G10" s="752"/>
      <c r="H10" s="752"/>
      <c r="I10" s="752"/>
      <c r="J10" s="752"/>
      <c r="K10" s="752"/>
      <c r="L10" s="752"/>
      <c r="M10" s="752"/>
      <c r="N10" s="752"/>
      <c r="O10" s="752"/>
      <c r="P10" s="752"/>
      <c r="Q10" s="752"/>
      <c r="R10" s="752"/>
      <c r="S10" s="754"/>
      <c r="T10" s="754"/>
      <c r="U10" s="754"/>
      <c r="V10" s="754"/>
      <c r="W10" s="754"/>
      <c r="X10" s="754"/>
      <c r="Y10" s="754"/>
      <c r="Z10" s="754"/>
      <c r="AA10" s="754"/>
      <c r="AB10" s="754"/>
      <c r="AC10" s="754"/>
    </row>
    <row r="11" spans="1:29" ht="30" customHeight="1">
      <c r="A11" s="752"/>
      <c r="B11" s="762"/>
      <c r="C11" s="752"/>
      <c r="D11" s="752"/>
      <c r="E11" s="752"/>
      <c r="F11" s="752"/>
      <c r="G11" s="752"/>
      <c r="H11" s="752"/>
      <c r="I11" s="752"/>
      <c r="J11" s="752"/>
      <c r="K11" s="752"/>
      <c r="L11" s="752"/>
      <c r="M11" s="752"/>
      <c r="N11" s="752"/>
      <c r="O11" s="752"/>
      <c r="P11" s="752"/>
      <c r="Q11" s="752"/>
      <c r="R11" s="752"/>
      <c r="S11" s="754"/>
      <c r="T11" s="754"/>
      <c r="U11" s="754"/>
      <c r="V11" s="754"/>
      <c r="W11" s="754"/>
      <c r="X11" s="754"/>
      <c r="Y11" s="754"/>
      <c r="Z11" s="754"/>
      <c r="AA11" s="754"/>
      <c r="AB11" s="754"/>
      <c r="AC11" s="754"/>
    </row>
    <row r="12" spans="1:29" ht="30" customHeight="1">
      <c r="A12" s="752"/>
      <c r="B12" s="761" t="s">
        <v>806</v>
      </c>
      <c r="C12" s="752"/>
      <c r="D12" s="752"/>
      <c r="E12" s="752"/>
      <c r="F12" s="752"/>
      <c r="G12" s="752"/>
      <c r="H12" s="752"/>
      <c r="I12" s="752"/>
      <c r="J12" s="752"/>
      <c r="K12" s="752"/>
      <c r="L12" s="752"/>
      <c r="M12" s="752"/>
      <c r="N12" s="752"/>
      <c r="O12" s="752"/>
      <c r="P12" s="752"/>
      <c r="Q12" s="752"/>
      <c r="R12" s="752"/>
      <c r="S12" s="754"/>
      <c r="T12" s="754"/>
      <c r="U12" s="754"/>
      <c r="V12" s="754"/>
      <c r="W12" s="754"/>
      <c r="X12" s="754"/>
      <c r="Y12" s="754"/>
      <c r="Z12" s="754"/>
      <c r="AA12" s="754"/>
      <c r="AB12" s="754"/>
      <c r="AC12" s="754"/>
    </row>
    <row r="13" spans="1:29" ht="30" customHeight="1">
      <c r="A13" s="763"/>
      <c r="B13" s="764" t="s">
        <v>807</v>
      </c>
      <c r="C13" s="763"/>
      <c r="D13" s="763"/>
      <c r="E13" s="763"/>
      <c r="F13" s="763"/>
      <c r="G13" s="763"/>
      <c r="H13" s="763"/>
      <c r="I13" s="763"/>
      <c r="J13" s="763"/>
      <c r="K13" s="763"/>
      <c r="L13" s="763"/>
      <c r="M13" s="763"/>
      <c r="N13" s="763"/>
      <c r="O13" s="763"/>
      <c r="P13" s="763"/>
      <c r="Q13" s="763"/>
      <c r="R13" s="763"/>
      <c r="S13" s="754"/>
      <c r="T13" s="754"/>
      <c r="U13" s="754"/>
      <c r="V13" s="754"/>
      <c r="W13" s="754"/>
      <c r="X13" s="754"/>
      <c r="Y13" s="754"/>
      <c r="Z13" s="754"/>
      <c r="AA13" s="754"/>
      <c r="AB13" s="754"/>
      <c r="AC13" s="754"/>
    </row>
    <row r="14" spans="1:29" ht="30" customHeight="1">
      <c r="A14" s="763"/>
      <c r="B14" s="765" t="s">
        <v>808</v>
      </c>
      <c r="C14" s="763"/>
      <c r="D14" s="763"/>
      <c r="E14" s="763"/>
      <c r="F14" s="763"/>
      <c r="G14" s="763"/>
      <c r="H14" s="763"/>
      <c r="I14" s="763"/>
      <c r="J14" s="763"/>
      <c r="K14" s="763"/>
      <c r="L14" s="763"/>
      <c r="M14" s="763"/>
      <c r="N14" s="763"/>
      <c r="O14" s="763"/>
      <c r="P14" s="763"/>
      <c r="Q14" s="763"/>
      <c r="R14" s="763"/>
      <c r="S14" s="754"/>
      <c r="T14" s="754"/>
      <c r="U14" s="754"/>
      <c r="V14" s="754"/>
      <c r="W14" s="754"/>
      <c r="X14" s="754"/>
      <c r="Y14" s="754"/>
      <c r="Z14" s="754"/>
      <c r="AA14" s="754"/>
      <c r="AB14" s="754"/>
      <c r="AC14" s="754"/>
    </row>
    <row r="15" spans="1:29" ht="30" customHeight="1">
      <c r="A15" s="763"/>
      <c r="B15" s="765" t="s">
        <v>809</v>
      </c>
      <c r="C15" s="763"/>
      <c r="D15" s="763"/>
      <c r="E15" s="763"/>
      <c r="F15" s="763"/>
      <c r="G15" s="763"/>
      <c r="H15" s="763"/>
      <c r="I15" s="763"/>
      <c r="J15" s="763"/>
      <c r="K15" s="763"/>
      <c r="L15" s="763"/>
      <c r="M15" s="763"/>
      <c r="N15" s="763"/>
      <c r="O15" s="763"/>
      <c r="P15" s="763"/>
      <c r="Q15" s="763"/>
      <c r="R15" s="763"/>
      <c r="S15" s="754"/>
      <c r="T15" s="754"/>
      <c r="U15" s="754"/>
      <c r="V15" s="754"/>
      <c r="W15" s="754"/>
      <c r="X15" s="754"/>
      <c r="Y15" s="754"/>
      <c r="Z15" s="754"/>
      <c r="AA15" s="754"/>
      <c r="AB15" s="754"/>
      <c r="AC15" s="754"/>
    </row>
    <row r="16" spans="1:29" ht="30" customHeight="1">
      <c r="A16" s="763"/>
      <c r="B16" s="765" t="s">
        <v>810</v>
      </c>
      <c r="C16" s="763"/>
      <c r="D16" s="763"/>
      <c r="E16" s="763"/>
      <c r="F16" s="763"/>
      <c r="G16" s="763"/>
      <c r="H16" s="763"/>
      <c r="I16" s="763"/>
      <c r="J16" s="763"/>
      <c r="K16" s="763"/>
      <c r="L16" s="763"/>
      <c r="M16" s="763"/>
      <c r="N16" s="763"/>
      <c r="O16" s="763"/>
      <c r="P16" s="763"/>
      <c r="Q16" s="763"/>
      <c r="R16" s="763"/>
      <c r="S16" s="754"/>
      <c r="T16" s="754"/>
      <c r="U16" s="754"/>
      <c r="V16" s="754"/>
      <c r="W16" s="754"/>
      <c r="X16" s="754"/>
      <c r="Y16" s="754"/>
      <c r="Z16" s="754"/>
      <c r="AA16" s="754"/>
      <c r="AB16" s="754"/>
      <c r="AC16" s="754"/>
    </row>
    <row r="17" spans="1:29" ht="30" customHeight="1">
      <c r="A17" s="763"/>
      <c r="B17" s="765" t="s">
        <v>811</v>
      </c>
      <c r="C17" s="763"/>
      <c r="D17" s="763"/>
      <c r="E17" s="763"/>
      <c r="F17" s="763"/>
      <c r="G17" s="763"/>
      <c r="H17" s="763"/>
      <c r="I17" s="763"/>
      <c r="J17" s="763"/>
      <c r="K17" s="763"/>
      <c r="L17" s="763"/>
      <c r="M17" s="763"/>
      <c r="N17" s="763"/>
      <c r="O17" s="763"/>
      <c r="P17" s="763"/>
      <c r="Q17" s="763"/>
      <c r="R17" s="763"/>
      <c r="S17" s="754"/>
      <c r="T17" s="754"/>
      <c r="U17" s="754"/>
      <c r="V17" s="754"/>
      <c r="W17" s="754"/>
      <c r="X17" s="754"/>
      <c r="Y17" s="754"/>
      <c r="Z17" s="754"/>
      <c r="AA17" s="754"/>
      <c r="AB17" s="754"/>
      <c r="AC17" s="754"/>
    </row>
    <row r="18" spans="1:29" ht="30" customHeight="1">
      <c r="A18" s="763"/>
      <c r="B18" s="765" t="s">
        <v>812</v>
      </c>
      <c r="C18" s="763"/>
      <c r="D18" s="763"/>
      <c r="E18" s="763"/>
      <c r="F18" s="763"/>
      <c r="G18" s="763"/>
      <c r="H18" s="763"/>
      <c r="I18" s="763"/>
      <c r="J18" s="763"/>
      <c r="K18" s="763"/>
      <c r="L18" s="763"/>
      <c r="M18" s="763"/>
      <c r="N18" s="763"/>
      <c r="O18" s="763"/>
      <c r="P18" s="763"/>
      <c r="Q18" s="763"/>
      <c r="R18" s="763"/>
      <c r="S18" s="754"/>
      <c r="T18" s="754"/>
      <c r="U18" s="754"/>
      <c r="V18" s="754"/>
      <c r="W18" s="754"/>
      <c r="X18" s="754"/>
      <c r="Y18" s="754"/>
      <c r="Z18" s="754"/>
      <c r="AA18" s="754"/>
      <c r="AB18" s="754"/>
      <c r="AC18" s="754"/>
    </row>
    <row r="19" spans="1:29" ht="30" customHeight="1">
      <c r="A19" s="752"/>
      <c r="B19" s="766" t="s">
        <v>813</v>
      </c>
      <c r="C19" s="752"/>
      <c r="D19" s="752"/>
      <c r="E19" s="752"/>
      <c r="F19" s="752"/>
      <c r="G19" s="752"/>
      <c r="H19" s="752"/>
      <c r="I19" s="752"/>
      <c r="J19" s="752"/>
      <c r="K19" s="752"/>
      <c r="L19" s="752"/>
      <c r="M19" s="752"/>
      <c r="N19" s="752"/>
      <c r="O19" s="763"/>
      <c r="P19" s="763"/>
      <c r="Q19" s="763"/>
      <c r="R19" s="752"/>
      <c r="S19" s="767"/>
      <c r="T19" s="767"/>
      <c r="U19" s="767"/>
      <c r="V19" s="767"/>
      <c r="W19" s="767"/>
      <c r="X19" s="767"/>
      <c r="Y19" s="767"/>
      <c r="Z19" s="767"/>
      <c r="AA19" s="767"/>
      <c r="AB19" s="767"/>
      <c r="AC19" s="767"/>
    </row>
    <row r="20" spans="1:29" ht="30" customHeight="1">
      <c r="A20" s="752"/>
      <c r="B20" s="752"/>
      <c r="C20" s="752"/>
      <c r="D20" s="752"/>
      <c r="E20" s="752"/>
      <c r="F20" s="752"/>
      <c r="G20" s="752"/>
      <c r="H20" s="752"/>
      <c r="I20" s="752"/>
      <c r="J20" s="752"/>
      <c r="K20" s="752"/>
      <c r="L20" s="752"/>
      <c r="M20" s="752"/>
      <c r="N20" s="752"/>
      <c r="O20" s="763"/>
      <c r="P20" s="763"/>
      <c r="Q20" s="763"/>
      <c r="R20" s="752"/>
      <c r="S20" s="767"/>
      <c r="T20" s="767"/>
      <c r="U20" s="767"/>
      <c r="V20" s="767"/>
      <c r="W20" s="767"/>
      <c r="X20" s="767"/>
      <c r="Y20" s="767"/>
      <c r="Z20" s="767"/>
      <c r="AA20" s="767"/>
      <c r="AB20" s="767"/>
      <c r="AC20" s="767"/>
    </row>
    <row r="21" spans="1:29" ht="30" customHeight="1">
      <c r="A21" s="752"/>
      <c r="B21" s="752"/>
      <c r="C21" s="752"/>
      <c r="D21" s="752"/>
      <c r="E21" s="752"/>
      <c r="F21" s="752"/>
      <c r="G21" s="752"/>
      <c r="H21" s="752"/>
      <c r="I21" s="752"/>
      <c r="J21" s="752"/>
      <c r="K21" s="752"/>
      <c r="L21" s="752"/>
      <c r="M21" s="752"/>
      <c r="N21" s="752"/>
      <c r="O21" s="763"/>
      <c r="P21" s="763"/>
      <c r="Q21" s="763"/>
      <c r="R21" s="752"/>
      <c r="S21" s="767"/>
      <c r="T21" s="767"/>
      <c r="U21" s="767"/>
      <c r="V21" s="767"/>
      <c r="W21" s="767"/>
      <c r="X21" s="767"/>
      <c r="Y21" s="767"/>
      <c r="Z21" s="767"/>
      <c r="AA21" s="767"/>
      <c r="AB21" s="767"/>
      <c r="AC21" s="767"/>
    </row>
    <row r="22" spans="1:29" ht="30" customHeight="1">
      <c r="A22" s="752"/>
      <c r="B22" s="752"/>
      <c r="C22" s="752"/>
      <c r="D22" s="752"/>
      <c r="E22" s="752"/>
      <c r="F22" s="752"/>
      <c r="G22" s="752"/>
      <c r="H22" s="752"/>
      <c r="I22" s="752"/>
      <c r="J22" s="752"/>
      <c r="K22" s="752"/>
      <c r="L22" s="752"/>
      <c r="M22" s="752"/>
      <c r="N22" s="752"/>
      <c r="O22" s="752"/>
      <c r="P22" s="752"/>
      <c r="Q22" s="752"/>
      <c r="R22" s="752"/>
      <c r="S22" s="767"/>
      <c r="T22" s="767"/>
      <c r="U22" s="767"/>
      <c r="V22" s="767"/>
      <c r="W22" s="767"/>
      <c r="X22" s="767"/>
      <c r="Y22" s="767"/>
      <c r="Z22" s="767"/>
      <c r="AA22" s="767"/>
      <c r="AB22" s="767"/>
      <c r="AC22" s="767"/>
    </row>
  </sheetData>
  <mergeCells count="1">
    <mergeCell ref="B7:M7"/>
  </mergeCells>
  <hyperlinks>
    <hyperlink ref="B7:M7" r:id="rId1" location="q=xlsm" display="Différence entre un fichier XLS et XLSX (ou XLSM)"/>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150"/>
  <sheetViews>
    <sheetView showZeros="0" zoomScaleNormal="100" workbookViewId="0">
      <selection activeCell="F61" sqref="F61"/>
    </sheetView>
  </sheetViews>
  <sheetFormatPr baseColWidth="10" defaultRowHeight="15"/>
  <cols>
    <col min="1" max="1" width="2" customWidth="1"/>
    <col min="2" max="2" width="8.7109375" customWidth="1"/>
    <col min="3" max="3" width="10.7109375" customWidth="1"/>
    <col min="4" max="4" width="16.7109375" customWidth="1"/>
    <col min="5" max="5" width="13.5703125" customWidth="1"/>
    <col min="6" max="6" width="16.7109375" customWidth="1"/>
    <col min="7" max="7" width="60.7109375" customWidth="1"/>
    <col min="8" max="8" width="12.7109375" customWidth="1"/>
    <col min="9" max="9" width="2" customWidth="1"/>
    <col min="10" max="10" width="8.7109375" customWidth="1"/>
    <col min="11" max="11" width="10.7109375" customWidth="1"/>
    <col min="12" max="12" width="16.7109375" customWidth="1"/>
    <col min="13" max="13" width="60.7109375" customWidth="1"/>
    <col min="14" max="14" width="12.7109375" customWidth="1"/>
    <col min="15" max="15" width="2.28515625" customWidth="1"/>
    <col min="16" max="16" width="6.7109375" customWidth="1"/>
    <col min="17" max="17" width="8.7109375" customWidth="1"/>
    <col min="18" max="18" width="10.7109375" customWidth="1"/>
    <col min="19" max="19" width="16.7109375" customWidth="1"/>
    <col min="20" max="20" width="60.7109375" customWidth="1"/>
    <col min="21" max="29" width="12.7109375" customWidth="1"/>
    <col min="30" max="30" width="33.85546875" customWidth="1"/>
    <col min="31" max="45" width="12.7109375" customWidth="1"/>
    <col min="47" max="47" width="63.5703125" customWidth="1"/>
    <col min="49" max="49" width="16.140625" bestFit="1" customWidth="1"/>
  </cols>
  <sheetData>
    <row r="1" spans="1:46" ht="18.95" customHeight="1">
      <c r="A1" s="1773">
        <v>1.29</v>
      </c>
      <c r="B1" s="1774">
        <v>8</v>
      </c>
      <c r="C1" s="1774">
        <v>10</v>
      </c>
      <c r="D1" s="1774">
        <v>16</v>
      </c>
      <c r="E1" s="1774">
        <v>16</v>
      </c>
      <c r="F1" s="1774">
        <v>16</v>
      </c>
      <c r="G1" s="1774">
        <v>60</v>
      </c>
      <c r="H1" s="1774">
        <v>12</v>
      </c>
      <c r="I1" s="1774"/>
      <c r="J1" s="1774">
        <v>8</v>
      </c>
      <c r="K1" s="1774">
        <v>10</v>
      </c>
      <c r="L1" s="1774">
        <v>16</v>
      </c>
      <c r="M1" s="1774">
        <v>60</v>
      </c>
      <c r="N1" s="1774">
        <v>12</v>
      </c>
      <c r="O1" s="1775">
        <v>1.57</v>
      </c>
      <c r="P1" s="1774">
        <v>6</v>
      </c>
      <c r="Q1" s="1774">
        <v>8</v>
      </c>
      <c r="R1" s="1774">
        <v>10</v>
      </c>
      <c r="S1" s="1774">
        <v>16</v>
      </c>
      <c r="T1" s="1774">
        <v>60</v>
      </c>
      <c r="U1" s="1774">
        <v>12</v>
      </c>
      <c r="V1" s="1774">
        <v>12</v>
      </c>
      <c r="W1" s="1774">
        <v>12</v>
      </c>
      <c r="X1" s="1774">
        <v>12</v>
      </c>
      <c r="Y1" s="1774">
        <v>12</v>
      </c>
      <c r="Z1" s="1774">
        <v>12</v>
      </c>
      <c r="AA1" s="1774">
        <v>12</v>
      </c>
      <c r="AB1" s="1774">
        <v>12</v>
      </c>
      <c r="AC1" s="1774">
        <v>12</v>
      </c>
      <c r="AD1" s="1776"/>
      <c r="AE1" s="1774">
        <v>12</v>
      </c>
      <c r="AF1" s="1774">
        <v>12</v>
      </c>
      <c r="AG1" s="1774">
        <v>12</v>
      </c>
      <c r="AH1" s="1774">
        <v>12</v>
      </c>
      <c r="AI1" s="1774">
        <v>12</v>
      </c>
      <c r="AJ1" s="1774">
        <v>12</v>
      </c>
      <c r="AK1" s="1774">
        <v>12</v>
      </c>
      <c r="AL1" s="1774">
        <v>12</v>
      </c>
      <c r="AM1" s="1774">
        <v>12</v>
      </c>
      <c r="AN1" s="1774">
        <v>12</v>
      </c>
      <c r="AO1" s="1774">
        <v>12</v>
      </c>
      <c r="AP1" s="1774">
        <v>12</v>
      </c>
      <c r="AQ1" s="1774">
        <v>12</v>
      </c>
      <c r="AR1" s="1774">
        <v>12</v>
      </c>
      <c r="AS1" s="1774">
        <v>12</v>
      </c>
      <c r="AT1" s="53" t="s">
        <v>740</v>
      </c>
    </row>
    <row r="2" spans="1:46" ht="18.95" customHeight="1" thickBot="1">
      <c r="A2" s="1144"/>
      <c r="B2" s="1145"/>
      <c r="C2" s="1145"/>
      <c r="D2" s="1145"/>
      <c r="E2" s="1145"/>
      <c r="F2" s="1145"/>
      <c r="G2" s="1145"/>
      <c r="H2" s="1145"/>
      <c r="I2" s="1145"/>
      <c r="J2" s="52"/>
      <c r="K2" s="52"/>
      <c r="L2" s="52"/>
      <c r="M2" s="52"/>
      <c r="N2" s="52"/>
      <c r="O2" s="1146"/>
      <c r="P2" s="1145"/>
      <c r="Q2" s="52"/>
      <c r="R2" s="52"/>
      <c r="S2" s="52"/>
      <c r="T2" s="52"/>
      <c r="U2" s="52"/>
      <c r="V2" s="52"/>
      <c r="W2" s="52"/>
      <c r="X2" s="52"/>
      <c r="Y2" s="52"/>
      <c r="Z2" s="52"/>
      <c r="AA2" s="52"/>
      <c r="AB2" s="52"/>
      <c r="AC2" s="52"/>
      <c r="AE2" s="52"/>
      <c r="AF2" s="52"/>
      <c r="AG2" s="52"/>
      <c r="AH2" s="52"/>
      <c r="AI2" s="52"/>
      <c r="AJ2" s="52"/>
      <c r="AK2" s="52"/>
      <c r="AL2" s="52"/>
      <c r="AM2" s="52"/>
      <c r="AN2" s="52"/>
      <c r="AO2" s="52"/>
      <c r="AP2" s="52"/>
      <c r="AQ2" s="52"/>
      <c r="AR2" s="52"/>
      <c r="AS2" s="52"/>
    </row>
    <row r="3" spans="1:46" ht="18.95" customHeight="1">
      <c r="A3" s="1144"/>
      <c r="B3" s="2492" t="s">
        <v>1772</v>
      </c>
      <c r="C3" s="2492"/>
      <c r="D3" s="2492"/>
      <c r="E3" s="2492"/>
      <c r="F3" s="2492"/>
      <c r="G3" s="1612"/>
      <c r="H3" s="1612"/>
      <c r="I3" s="1145"/>
      <c r="J3" s="1323" t="str">
        <f>ADDRESS(ROW(),COLUMN(),4)</f>
        <v>J3</v>
      </c>
      <c r="K3" s="2439" t="s">
        <v>1569</v>
      </c>
      <c r="L3" s="2439"/>
      <c r="M3" s="2439"/>
      <c r="N3" s="2440"/>
      <c r="O3" s="1146"/>
      <c r="P3" s="1145"/>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row>
    <row r="4" spans="1:46" ht="18.95" customHeight="1">
      <c r="A4" s="1144"/>
      <c r="B4" s="2492" t="s">
        <v>1773</v>
      </c>
      <c r="C4" s="2492"/>
      <c r="D4" s="2492"/>
      <c r="E4" s="2492"/>
      <c r="F4" s="2492"/>
      <c r="G4" s="1612"/>
      <c r="H4" s="1612"/>
      <c r="I4" s="1145"/>
      <c r="J4" s="1322" t="s">
        <v>1705</v>
      </c>
      <c r="K4" s="2441"/>
      <c r="L4" s="2441"/>
      <c r="M4" s="2441"/>
      <c r="N4" s="2442"/>
      <c r="O4" s="1146"/>
      <c r="P4" s="1145"/>
      <c r="Q4" s="52"/>
      <c r="R4" s="52"/>
      <c r="S4" s="52"/>
      <c r="T4" s="52"/>
      <c r="U4" s="52"/>
      <c r="V4" s="52"/>
      <c r="W4" s="52"/>
      <c r="X4" s="52"/>
      <c r="Y4" s="52"/>
      <c r="Z4" s="52"/>
      <c r="AA4" s="52"/>
      <c r="AB4" s="52"/>
      <c r="AC4" s="52"/>
      <c r="AE4" s="52"/>
      <c r="AF4" s="52"/>
      <c r="AG4" s="52"/>
      <c r="AH4" s="52"/>
      <c r="AI4" s="52"/>
      <c r="AJ4" s="52"/>
      <c r="AK4" s="52"/>
      <c r="AL4" s="52"/>
      <c r="AM4" s="52"/>
      <c r="AN4" s="52"/>
      <c r="AO4" s="52"/>
      <c r="AP4" s="52"/>
      <c r="AQ4" s="52"/>
      <c r="AR4" s="52"/>
      <c r="AS4" s="52"/>
    </row>
    <row r="5" spans="1:46" ht="18.95" customHeight="1" thickBot="1">
      <c r="A5" s="1144"/>
      <c r="B5" s="1612"/>
      <c r="C5" s="1612"/>
      <c r="D5" s="1612"/>
      <c r="E5" s="1612"/>
      <c r="F5" s="1612"/>
      <c r="G5" s="1612"/>
      <c r="H5" s="1612"/>
      <c r="I5" s="1145"/>
      <c r="J5" s="2380" t="s">
        <v>144</v>
      </c>
      <c r="K5" s="2381"/>
      <c r="L5" s="2381"/>
      <c r="M5" s="2381"/>
      <c r="N5" s="2382"/>
      <c r="O5" s="1146"/>
      <c r="P5" s="1145"/>
      <c r="Q5" s="52"/>
      <c r="R5" s="52"/>
      <c r="S5" s="52"/>
      <c r="T5" s="52"/>
      <c r="U5" s="52"/>
      <c r="V5" s="52"/>
      <c r="W5" s="52"/>
      <c r="X5" s="52"/>
      <c r="Y5" s="52"/>
      <c r="Z5" s="52"/>
      <c r="AA5" s="52"/>
      <c r="AB5" s="52"/>
      <c r="AC5" s="52"/>
      <c r="AE5" s="52"/>
      <c r="AF5" s="52"/>
      <c r="AG5" s="52"/>
      <c r="AH5" s="52"/>
      <c r="AI5" s="52"/>
      <c r="AJ5" s="52"/>
      <c r="AK5" s="52"/>
      <c r="AL5" s="52"/>
      <c r="AM5" s="52"/>
      <c r="AN5" s="52"/>
      <c r="AO5" s="52"/>
      <c r="AP5" s="52"/>
      <c r="AQ5" s="52"/>
      <c r="AR5" s="52"/>
      <c r="AS5" s="52"/>
    </row>
    <row r="6" spans="1:46" ht="18.95" customHeight="1">
      <c r="A6" s="1144"/>
      <c r="B6" s="2493" t="s">
        <v>1774</v>
      </c>
      <c r="C6" s="2493"/>
      <c r="D6" s="2496" t="s">
        <v>1775</v>
      </c>
      <c r="E6" s="3417" t="s">
        <v>1776</v>
      </c>
      <c r="F6" s="1612"/>
      <c r="G6" s="1777" t="s">
        <v>2010</v>
      </c>
      <c r="H6" s="1612"/>
      <c r="I6" s="1145"/>
      <c r="J6" s="2380"/>
      <c r="K6" s="2381"/>
      <c r="L6" s="2381"/>
      <c r="M6" s="2381"/>
      <c r="N6" s="2382"/>
      <c r="O6" s="1146"/>
      <c r="P6" s="1145"/>
      <c r="Q6" s="52"/>
      <c r="W6" s="52"/>
      <c r="X6" s="52"/>
      <c r="Y6" s="52"/>
      <c r="Z6" s="52"/>
      <c r="AA6" s="52"/>
      <c r="AB6" s="52"/>
      <c r="AC6" s="52"/>
      <c r="AE6" s="52"/>
      <c r="AF6" s="52"/>
      <c r="AG6" s="52"/>
      <c r="AH6" s="52"/>
      <c r="AI6" s="52"/>
      <c r="AJ6" s="52"/>
      <c r="AK6" s="52"/>
      <c r="AL6" s="52"/>
      <c r="AM6" s="52"/>
      <c r="AN6" s="52"/>
      <c r="AO6" s="52"/>
      <c r="AP6" s="52"/>
      <c r="AQ6" s="52"/>
      <c r="AR6" s="52"/>
      <c r="AS6" s="52"/>
    </row>
    <row r="7" spans="1:46" ht="18.95" customHeight="1">
      <c r="A7" s="1144"/>
      <c r="B7" s="2494"/>
      <c r="C7" s="2494"/>
      <c r="D7" s="2497"/>
      <c r="E7" s="3418"/>
      <c r="F7" s="1612"/>
      <c r="G7" s="1778" t="s">
        <v>2011</v>
      </c>
      <c r="H7" s="1612"/>
      <c r="I7" s="1145"/>
      <c r="J7" s="2431" t="s">
        <v>1602</v>
      </c>
      <c r="K7" s="2432"/>
      <c r="L7" s="2432"/>
      <c r="M7" s="2432"/>
      <c r="N7" s="2433"/>
      <c r="O7" s="1146"/>
      <c r="P7" s="1145"/>
      <c r="Q7" s="52"/>
      <c r="W7" s="52"/>
      <c r="X7" s="52"/>
      <c r="Y7" s="52"/>
      <c r="Z7" s="52"/>
      <c r="AA7" s="52"/>
      <c r="AB7" s="52"/>
      <c r="AC7" s="52"/>
      <c r="AE7" s="52"/>
      <c r="AF7" s="52"/>
      <c r="AG7" s="52"/>
      <c r="AH7" s="52"/>
      <c r="AI7" s="52"/>
      <c r="AJ7" s="52"/>
      <c r="AK7" s="52"/>
      <c r="AL7" s="52"/>
      <c r="AM7" s="52"/>
      <c r="AN7" s="52"/>
      <c r="AO7" s="52"/>
      <c r="AP7" s="52"/>
      <c r="AQ7" s="52"/>
      <c r="AR7" s="52"/>
      <c r="AS7" s="52"/>
    </row>
    <row r="8" spans="1:46" ht="18.95" customHeight="1">
      <c r="A8" s="1144"/>
      <c r="B8" s="2494"/>
      <c r="C8" s="2494"/>
      <c r="D8" s="2497"/>
      <c r="E8" s="3418"/>
      <c r="F8" s="1612"/>
      <c r="G8" s="1778" t="s">
        <v>2012</v>
      </c>
      <c r="H8" s="1612"/>
      <c r="I8" s="1145"/>
      <c r="J8" s="2431"/>
      <c r="K8" s="2432"/>
      <c r="L8" s="2432"/>
      <c r="M8" s="2432"/>
      <c r="N8" s="2433"/>
      <c r="O8" s="1146"/>
      <c r="P8" s="1145"/>
      <c r="Q8" s="52"/>
      <c r="W8" s="52"/>
      <c r="X8" s="52"/>
      <c r="Y8" s="52"/>
      <c r="Z8" s="52"/>
      <c r="AA8" s="52"/>
      <c r="AB8" s="52"/>
      <c r="AC8" s="52"/>
      <c r="AE8" s="52"/>
      <c r="AF8" s="52"/>
      <c r="AG8" s="52"/>
      <c r="AH8" s="52"/>
      <c r="AI8" s="52"/>
      <c r="AJ8" s="52"/>
      <c r="AK8" s="52"/>
      <c r="AL8" s="52"/>
      <c r="AM8" s="52"/>
      <c r="AN8" s="52"/>
      <c r="AO8" s="52"/>
      <c r="AP8" s="52"/>
      <c r="AQ8" s="52"/>
      <c r="AR8" s="52"/>
      <c r="AS8" s="52"/>
    </row>
    <row r="9" spans="1:46" ht="18.95" customHeight="1" thickBot="1">
      <c r="A9" s="1144"/>
      <c r="B9" s="2495"/>
      <c r="C9" s="2495"/>
      <c r="D9" s="2498"/>
      <c r="E9" s="3419"/>
      <c r="F9" s="54"/>
      <c r="G9" s="3420" t="s">
        <v>2013</v>
      </c>
      <c r="H9" s="1145"/>
      <c r="I9" s="1145"/>
      <c r="J9" s="2434" t="s">
        <v>1603</v>
      </c>
      <c r="K9" s="2435"/>
      <c r="L9" s="2435"/>
      <c r="M9" s="2435"/>
      <c r="N9" s="2436"/>
      <c r="O9" s="1146"/>
      <c r="P9" s="1145"/>
      <c r="Q9" s="52"/>
      <c r="W9" s="52"/>
      <c r="X9" s="52"/>
      <c r="Y9" s="52"/>
      <c r="Z9" s="52"/>
      <c r="AA9" s="52"/>
      <c r="AB9" s="52"/>
      <c r="AC9" s="52"/>
      <c r="AE9" s="52"/>
      <c r="AF9" s="52"/>
      <c r="AG9" s="52"/>
      <c r="AH9" s="52"/>
      <c r="AI9" s="52"/>
      <c r="AJ9" s="52"/>
      <c r="AK9" s="52"/>
      <c r="AL9" s="52"/>
      <c r="AM9" s="52"/>
      <c r="AN9" s="52"/>
      <c r="AO9" s="52"/>
      <c r="AP9" s="52"/>
      <c r="AQ9" s="52"/>
      <c r="AR9" s="52"/>
      <c r="AS9" s="52"/>
    </row>
    <row r="10" spans="1:46" ht="18.95" customHeight="1" thickBot="1">
      <c r="A10" s="1144"/>
      <c r="B10" s="54"/>
      <c r="C10" s="54"/>
      <c r="D10" s="54"/>
      <c r="E10" s="54"/>
      <c r="F10" s="54"/>
      <c r="G10" s="3420"/>
      <c r="H10" s="1145"/>
      <c r="I10" s="1145"/>
      <c r="J10" s="1128"/>
      <c r="K10" s="1126"/>
      <c r="L10" s="1126"/>
      <c r="M10" s="1126"/>
      <c r="N10" s="1129"/>
      <c r="O10" s="1146"/>
      <c r="P10" s="1145"/>
      <c r="Q10" s="52"/>
      <c r="W10" s="52"/>
      <c r="X10" s="52"/>
      <c r="Y10" s="52"/>
      <c r="Z10" s="52"/>
      <c r="AA10" s="52"/>
      <c r="AB10" s="52"/>
      <c r="AC10" s="52"/>
      <c r="AE10" s="52"/>
      <c r="AF10" s="52"/>
      <c r="AG10" s="52"/>
      <c r="AH10" s="52"/>
      <c r="AI10" s="52"/>
      <c r="AJ10" s="52"/>
      <c r="AK10" s="52"/>
      <c r="AL10" s="52"/>
      <c r="AM10" s="52"/>
      <c r="AN10" s="52"/>
      <c r="AO10" s="52"/>
      <c r="AP10" s="52"/>
      <c r="AQ10" s="52"/>
      <c r="AR10" s="52"/>
      <c r="AS10" s="52"/>
    </row>
    <row r="11" spans="1:46" ht="18.95" customHeight="1">
      <c r="A11" s="1144"/>
      <c r="B11" s="3424" t="s">
        <v>2014</v>
      </c>
      <c r="C11" s="3424"/>
      <c r="D11" s="3424"/>
      <c r="E11" s="3426">
        <v>1.75</v>
      </c>
      <c r="F11" s="54"/>
      <c r="G11" s="3428" t="s">
        <v>2015</v>
      </c>
      <c r="H11" s="1145"/>
      <c r="I11" s="1145"/>
      <c r="J11" s="2411" t="s">
        <v>1605</v>
      </c>
      <c r="K11" s="2412"/>
      <c r="L11" s="2412"/>
      <c r="M11" s="2412"/>
      <c r="N11" s="1127" t="str">
        <f>LEFT(ADDRESS(1,COLUMN(),4),LEN(ADDRESS(1,COLUMN(),4))-1)</f>
        <v>N</v>
      </c>
      <c r="O11" s="1146"/>
      <c r="P11" s="1145"/>
      <c r="Q11" s="52"/>
      <c r="W11" s="52"/>
      <c r="X11" s="52"/>
      <c r="Y11" s="52"/>
      <c r="Z11" s="52"/>
      <c r="AA11" s="52"/>
      <c r="AB11" s="52"/>
      <c r="AC11" s="52"/>
      <c r="AE11" s="52"/>
      <c r="AF11" s="52"/>
      <c r="AG11" s="52"/>
      <c r="AH11" s="52"/>
      <c r="AI11" s="52"/>
      <c r="AJ11" s="52"/>
      <c r="AK11" s="52"/>
      <c r="AL11" s="52"/>
      <c r="AM11" s="52"/>
      <c r="AN11" s="52"/>
      <c r="AO11" s="52"/>
      <c r="AP11" s="52"/>
      <c r="AQ11" s="52"/>
      <c r="AR11" s="52"/>
      <c r="AS11" s="52"/>
    </row>
    <row r="12" spans="1:46" ht="18.95" customHeight="1" thickBot="1">
      <c r="A12" s="1144"/>
      <c r="B12" s="3425"/>
      <c r="C12" s="3425"/>
      <c r="D12" s="3425"/>
      <c r="E12" s="3427"/>
      <c r="F12" s="54"/>
      <c r="G12" s="3429"/>
      <c r="H12" s="1145"/>
      <c r="I12" s="1145"/>
      <c r="J12" s="734" t="s">
        <v>1593</v>
      </c>
      <c r="K12" s="1"/>
      <c r="L12" s="1"/>
      <c r="M12" s="1"/>
      <c r="N12" s="2"/>
      <c r="O12" s="1146"/>
      <c r="P12" s="1145"/>
      <c r="Q12" s="52"/>
      <c r="W12" s="52"/>
      <c r="X12" s="52"/>
      <c r="Y12" s="52"/>
      <c r="Z12" s="52"/>
      <c r="AA12" s="52"/>
      <c r="AB12" s="52"/>
      <c r="AC12" s="52"/>
      <c r="AE12" s="52"/>
      <c r="AF12" s="52"/>
      <c r="AG12" s="52"/>
      <c r="AH12" s="52"/>
      <c r="AI12" s="52"/>
      <c r="AJ12" s="52"/>
      <c r="AK12" s="52"/>
      <c r="AL12" s="52"/>
      <c r="AM12" s="52"/>
      <c r="AN12" s="52"/>
      <c r="AO12" s="52"/>
      <c r="AP12" s="52"/>
      <c r="AQ12" s="52"/>
      <c r="AR12" s="52"/>
      <c r="AS12" s="52"/>
    </row>
    <row r="13" spans="1:46" ht="18.95" customHeight="1">
      <c r="A13" s="1144"/>
      <c r="B13" s="3430" t="s">
        <v>2016</v>
      </c>
      <c r="C13" s="3430"/>
      <c r="D13" s="3430"/>
      <c r="E13" s="3432">
        <v>850</v>
      </c>
      <c r="F13" s="54"/>
      <c r="H13" s="1145"/>
      <c r="I13" s="1145"/>
      <c r="J13" s="2420" t="s">
        <v>1604</v>
      </c>
      <c r="K13" s="2421"/>
      <c r="L13" s="2421"/>
      <c r="M13" s="2421"/>
      <c r="N13" s="2"/>
      <c r="O13" s="1146"/>
      <c r="P13" s="1145"/>
      <c r="Q13" s="52"/>
      <c r="W13" s="52"/>
      <c r="X13" s="52"/>
      <c r="Y13" s="52"/>
      <c r="Z13" s="52"/>
      <c r="AA13" s="52"/>
      <c r="AB13" s="52"/>
      <c r="AC13" s="52"/>
      <c r="AE13" s="52"/>
      <c r="AF13" s="52"/>
      <c r="AG13" s="52"/>
      <c r="AH13" s="52"/>
      <c r="AI13" s="52"/>
      <c r="AJ13" s="52"/>
      <c r="AK13" s="52"/>
      <c r="AL13" s="52"/>
      <c r="AM13" s="52"/>
      <c r="AN13" s="52"/>
      <c r="AO13" s="52"/>
      <c r="AP13" s="52"/>
      <c r="AQ13" s="52"/>
      <c r="AR13" s="52"/>
      <c r="AS13" s="52"/>
    </row>
    <row r="14" spans="1:46" ht="18.95" customHeight="1" thickBot="1">
      <c r="A14" s="1144"/>
      <c r="B14" s="3431"/>
      <c r="C14" s="3431"/>
      <c r="D14" s="3431"/>
      <c r="E14" s="3433"/>
      <c r="F14" s="54"/>
      <c r="G14" s="1145"/>
      <c r="H14" s="1145"/>
      <c r="I14" s="1145"/>
      <c r="J14" s="2420"/>
      <c r="K14" s="2421"/>
      <c r="L14" s="2421"/>
      <c r="M14" s="2421"/>
      <c r="N14" s="2"/>
      <c r="O14" s="1146"/>
      <c r="P14" s="1145"/>
      <c r="Q14" s="52"/>
      <c r="W14" s="52"/>
      <c r="X14" s="52"/>
      <c r="Y14" s="52"/>
      <c r="Z14" s="52"/>
      <c r="AA14" s="52"/>
      <c r="AB14" s="52"/>
      <c r="AC14" s="52"/>
      <c r="AE14" s="52"/>
      <c r="AF14" s="52"/>
      <c r="AG14" s="52"/>
      <c r="AH14" s="52"/>
      <c r="AI14" s="52"/>
      <c r="AJ14" s="52"/>
      <c r="AK14" s="52"/>
      <c r="AL14" s="52"/>
      <c r="AM14" s="52"/>
      <c r="AN14" s="52"/>
      <c r="AO14" s="52"/>
      <c r="AP14" s="52"/>
      <c r="AQ14" s="52"/>
      <c r="AR14" s="52"/>
      <c r="AS14" s="52"/>
    </row>
    <row r="15" spans="1:46" ht="18.95" customHeight="1">
      <c r="A15" s="1144"/>
      <c r="F15" s="54"/>
      <c r="G15" s="1145"/>
      <c r="H15" s="1145"/>
      <c r="I15" s="1145"/>
      <c r="J15" s="2420"/>
      <c r="K15" s="2421"/>
      <c r="L15" s="2421"/>
      <c r="M15" s="2421"/>
      <c r="N15" s="2"/>
      <c r="O15" s="1146"/>
      <c r="P15" s="1145"/>
      <c r="Q15" s="52"/>
      <c r="W15" s="52"/>
      <c r="X15" s="52"/>
      <c r="Y15" s="52"/>
      <c r="Z15" s="52"/>
      <c r="AA15" s="52"/>
      <c r="AB15" s="52"/>
      <c r="AC15" s="52"/>
      <c r="AE15" s="52"/>
      <c r="AF15" s="52"/>
      <c r="AG15" s="52"/>
      <c r="AH15" s="52"/>
      <c r="AI15" s="52"/>
      <c r="AJ15" s="52"/>
      <c r="AK15" s="52"/>
      <c r="AL15" s="52"/>
      <c r="AM15" s="52"/>
      <c r="AN15" s="52"/>
      <c r="AO15" s="52"/>
      <c r="AP15" s="52"/>
      <c r="AQ15" s="52"/>
      <c r="AR15" s="52"/>
      <c r="AS15" s="52"/>
    </row>
    <row r="16" spans="1:46" ht="18.95" customHeight="1">
      <c r="A16" s="1144"/>
      <c r="B16" s="3421" t="s">
        <v>2017</v>
      </c>
      <c r="C16" s="3421"/>
      <c r="D16" s="3421"/>
      <c r="E16" s="3421"/>
      <c r="F16" s="3421"/>
      <c r="G16" s="1779" t="s">
        <v>2018</v>
      </c>
      <c r="H16" s="1145"/>
      <c r="I16" s="1145"/>
      <c r="J16" s="1086" t="s">
        <v>1594</v>
      </c>
      <c r="K16" s="1"/>
      <c r="L16" s="1"/>
      <c r="M16" s="1"/>
      <c r="N16" s="2"/>
      <c r="O16" s="1146"/>
      <c r="P16" s="1145"/>
      <c r="Q16" s="52"/>
      <c r="W16" s="52"/>
      <c r="X16" s="52"/>
      <c r="Y16" s="52"/>
      <c r="Z16" s="52"/>
      <c r="AA16" s="52"/>
      <c r="AB16" s="52"/>
      <c r="AC16" s="52"/>
      <c r="AE16" s="52"/>
      <c r="AF16" s="52"/>
      <c r="AG16" s="52"/>
      <c r="AH16" s="52"/>
      <c r="AI16" s="52"/>
      <c r="AJ16" s="52"/>
      <c r="AK16" s="52"/>
      <c r="AL16" s="52"/>
      <c r="AM16" s="52"/>
      <c r="AN16" s="52"/>
      <c r="AO16" s="52"/>
      <c r="AP16" s="52"/>
      <c r="AQ16" s="52"/>
      <c r="AR16" s="52"/>
      <c r="AS16" s="52"/>
    </row>
    <row r="17" spans="1:45" ht="18.95" customHeight="1" thickBot="1">
      <c r="A17" s="1144"/>
      <c r="B17" s="54"/>
      <c r="C17" s="54"/>
      <c r="D17" s="54"/>
      <c r="E17" s="54"/>
      <c r="F17" s="54"/>
      <c r="G17" s="1145"/>
      <c r="H17" s="1145"/>
      <c r="I17" s="1145"/>
      <c r="J17" s="1391"/>
      <c r="K17" s="1131"/>
      <c r="L17" s="1131"/>
      <c r="M17" s="1131"/>
      <c r="N17" s="1780" t="s">
        <v>2019</v>
      </c>
      <c r="O17" s="1146"/>
      <c r="P17" s="1145"/>
      <c r="Q17" s="52"/>
      <c r="W17" s="52"/>
      <c r="X17" s="52"/>
      <c r="Y17" s="52"/>
      <c r="Z17" s="52"/>
      <c r="AA17" s="52"/>
      <c r="AB17" s="52"/>
      <c r="AC17" s="52"/>
      <c r="AE17" s="52"/>
      <c r="AF17" s="52"/>
      <c r="AG17" s="52"/>
      <c r="AH17" s="52"/>
      <c r="AI17" s="52"/>
      <c r="AJ17" s="52"/>
      <c r="AK17" s="52"/>
      <c r="AL17" s="52"/>
      <c r="AM17" s="52"/>
      <c r="AN17" s="52"/>
      <c r="AO17" s="52"/>
      <c r="AP17" s="52"/>
      <c r="AQ17" s="52"/>
      <c r="AR17" s="52"/>
      <c r="AS17" s="52"/>
    </row>
    <row r="18" spans="1:45" ht="18.95" customHeight="1">
      <c r="A18" s="1144"/>
      <c r="B18" s="3422" t="s">
        <v>673</v>
      </c>
      <c r="C18" s="3423"/>
      <c r="D18" s="3423"/>
      <c r="E18" s="3423"/>
      <c r="F18" s="687">
        <f>D20*1000</f>
        <v>1000</v>
      </c>
      <c r="H18" s="1145"/>
      <c r="I18" s="1145"/>
      <c r="J18" s="1093" t="s">
        <v>75</v>
      </c>
      <c r="K18" s="2379" t="s">
        <v>670</v>
      </c>
      <c r="L18" s="2379"/>
      <c r="M18" s="2379"/>
      <c r="N18" s="1603" t="str">
        <f>ADDRESS(ROW(R77),COLUMN(R77),4)</f>
        <v>R77</v>
      </c>
      <c r="O18" s="1146"/>
      <c r="P18" s="1145"/>
      <c r="Q18" s="52"/>
      <c r="W18" s="52"/>
      <c r="X18" s="52"/>
      <c r="Y18" s="52"/>
      <c r="Z18" s="52"/>
      <c r="AA18" s="52"/>
      <c r="AB18" s="52"/>
      <c r="AC18" s="52"/>
      <c r="AE18" s="52"/>
      <c r="AF18" s="52"/>
      <c r="AG18" s="52"/>
      <c r="AH18" s="52"/>
      <c r="AI18" s="52"/>
      <c r="AJ18" s="52"/>
      <c r="AK18" s="52"/>
      <c r="AL18" s="52"/>
      <c r="AM18" s="52"/>
      <c r="AN18" s="52"/>
      <c r="AO18" s="52"/>
      <c r="AP18" s="52"/>
      <c r="AQ18" s="52"/>
      <c r="AR18" s="52"/>
      <c r="AS18" s="52"/>
    </row>
    <row r="19" spans="1:45" ht="18.95" customHeight="1">
      <c r="A19" s="1144"/>
      <c r="B19" s="697" t="s">
        <v>733</v>
      </c>
      <c r="C19" s="698"/>
      <c r="D19" s="698"/>
      <c r="E19" s="698"/>
      <c r="F19" s="686"/>
      <c r="H19" s="1145"/>
      <c r="I19" s="1145"/>
      <c r="J19" s="2384" t="s">
        <v>72</v>
      </c>
      <c r="K19" s="2385" t="s">
        <v>669</v>
      </c>
      <c r="L19" s="2385"/>
      <c r="M19" s="2385"/>
      <c r="N19" s="2386" t="str">
        <f>ADDRESS(ROW(R78),COLUMN(R78),4)</f>
        <v>R78</v>
      </c>
      <c r="O19" s="1146"/>
      <c r="P19" s="1145"/>
      <c r="Q19" s="52"/>
      <c r="W19" s="52"/>
      <c r="X19" s="52"/>
      <c r="Y19" s="52"/>
      <c r="Z19" s="52"/>
      <c r="AA19" s="52"/>
      <c r="AB19" s="52"/>
      <c r="AC19" s="52"/>
      <c r="AE19" s="52"/>
      <c r="AF19" s="52"/>
      <c r="AG19" s="52"/>
      <c r="AH19" s="52"/>
      <c r="AI19" s="52"/>
      <c r="AJ19" s="52"/>
      <c r="AK19" s="52"/>
      <c r="AL19" s="52"/>
      <c r="AM19" s="52"/>
      <c r="AN19" s="52"/>
      <c r="AO19" s="52"/>
      <c r="AP19" s="52"/>
      <c r="AQ19" s="52"/>
      <c r="AR19" s="52"/>
      <c r="AS19" s="52"/>
    </row>
    <row r="20" spans="1:45" ht="18.95" customHeight="1">
      <c r="A20" s="1144"/>
      <c r="B20" s="681"/>
      <c r="C20" s="682" t="s">
        <v>55</v>
      </c>
      <c r="D20" s="1781">
        <v>1</v>
      </c>
      <c r="E20" s="685" t="s">
        <v>54</v>
      </c>
      <c r="F20" s="1782">
        <f>D20*1000</f>
        <v>1000</v>
      </c>
      <c r="G20" s="1145"/>
      <c r="H20" s="1145"/>
      <c r="I20" s="1145"/>
      <c r="J20" s="2384"/>
      <c r="K20" s="2385"/>
      <c r="L20" s="2385"/>
      <c r="M20" s="2385"/>
      <c r="N20" s="2386"/>
      <c r="O20" s="1146"/>
      <c r="P20" s="1145"/>
      <c r="Q20" s="52"/>
      <c r="W20" s="52"/>
      <c r="X20" s="52"/>
      <c r="Y20" s="52"/>
      <c r="Z20" s="52"/>
      <c r="AA20" s="52"/>
      <c r="AB20" s="52"/>
      <c r="AC20" s="52"/>
      <c r="AE20" s="52"/>
      <c r="AF20" s="52"/>
      <c r="AG20" s="52"/>
      <c r="AH20" s="52"/>
      <c r="AI20" s="52"/>
      <c r="AJ20" s="52"/>
      <c r="AK20" s="52"/>
      <c r="AL20" s="52"/>
      <c r="AM20" s="52"/>
      <c r="AN20" s="52"/>
      <c r="AO20" s="52"/>
      <c r="AP20" s="52"/>
      <c r="AQ20" s="52"/>
      <c r="AR20" s="52"/>
      <c r="AS20" s="52"/>
    </row>
    <row r="21" spans="1:45" ht="18.95" customHeight="1">
      <c r="A21" s="1144"/>
      <c r="B21" s="681"/>
      <c r="C21" s="682" t="s">
        <v>54</v>
      </c>
      <c r="D21" s="1781">
        <v>1</v>
      </c>
      <c r="E21" s="685" t="s">
        <v>55</v>
      </c>
      <c r="F21" s="1782">
        <f>D21*1000</f>
        <v>1000</v>
      </c>
      <c r="G21" s="1145"/>
      <c r="H21" s="1145"/>
      <c r="I21" s="1145"/>
      <c r="J21" s="1476" t="s">
        <v>71</v>
      </c>
      <c r="K21" s="1092"/>
      <c r="L21" s="1092"/>
      <c r="M21" s="1092"/>
      <c r="N21" s="1095" t="str">
        <f>ADDRESS(ROW(T79),COLUMN(T79),4)</f>
        <v>T79</v>
      </c>
      <c r="O21" s="1146"/>
      <c r="P21" s="1145"/>
      <c r="Q21" s="52"/>
      <c r="W21" s="52"/>
      <c r="X21" s="52"/>
      <c r="Y21" s="52"/>
      <c r="Z21" s="52"/>
      <c r="AA21" s="52"/>
      <c r="AB21" s="52"/>
      <c r="AC21" s="52"/>
      <c r="AE21" s="52"/>
      <c r="AF21" s="52"/>
      <c r="AG21" s="52"/>
      <c r="AH21" s="52"/>
      <c r="AI21" s="52"/>
      <c r="AJ21" s="52"/>
      <c r="AK21" s="52"/>
      <c r="AL21" s="52"/>
      <c r="AM21" s="52"/>
      <c r="AN21" s="52"/>
      <c r="AO21" s="52"/>
      <c r="AP21" s="52"/>
      <c r="AQ21" s="52"/>
      <c r="AR21" s="52"/>
      <c r="AS21" s="52"/>
    </row>
    <row r="22" spans="1:45" ht="18.95" customHeight="1">
      <c r="A22" s="1144"/>
      <c r="B22" s="681"/>
      <c r="C22" s="688"/>
      <c r="D22" s="683"/>
      <c r="E22" s="683"/>
      <c r="F22" s="690"/>
      <c r="G22" s="1145"/>
      <c r="H22" s="1145"/>
      <c r="I22" s="1145"/>
      <c r="J22" s="2387" t="s">
        <v>684</v>
      </c>
      <c r="K22" s="2385"/>
      <c r="L22" s="2385"/>
      <c r="M22" s="2385"/>
      <c r="N22" s="2388"/>
      <c r="O22" s="1146"/>
      <c r="P22" s="1145"/>
      <c r="Q22" s="52"/>
      <c r="W22" s="52"/>
      <c r="X22" s="52"/>
      <c r="Y22" s="52"/>
      <c r="Z22" s="52"/>
      <c r="AA22" s="52"/>
      <c r="AB22" s="52"/>
      <c r="AC22" s="52"/>
      <c r="AE22" s="52"/>
      <c r="AF22" s="52"/>
      <c r="AG22" s="52"/>
      <c r="AH22" s="52"/>
      <c r="AI22" s="52"/>
      <c r="AJ22" s="52"/>
      <c r="AK22" s="52"/>
      <c r="AL22" s="52"/>
      <c r="AM22" s="52"/>
      <c r="AN22" s="52"/>
      <c r="AO22" s="52"/>
      <c r="AP22" s="52"/>
      <c r="AQ22" s="52"/>
      <c r="AR22" s="52"/>
      <c r="AS22" s="52"/>
    </row>
    <row r="23" spans="1:45" ht="18.95" customHeight="1">
      <c r="A23" s="1144"/>
      <c r="B23" s="3434" t="s">
        <v>674</v>
      </c>
      <c r="C23" s="3435"/>
      <c r="D23" s="3435"/>
      <c r="E23" s="3435"/>
      <c r="F23" s="3436"/>
      <c r="G23" s="1145"/>
      <c r="H23" s="1145"/>
      <c r="I23" s="1145"/>
      <c r="J23" s="2387"/>
      <c r="K23" s="2385"/>
      <c r="L23" s="2385"/>
      <c r="M23" s="2385"/>
      <c r="N23" s="2388"/>
      <c r="O23" s="1146"/>
      <c r="P23" s="1145"/>
      <c r="Q23" s="52"/>
      <c r="W23" s="52"/>
      <c r="X23" s="52"/>
      <c r="Y23" s="52"/>
      <c r="Z23" s="52"/>
      <c r="AA23" s="52"/>
      <c r="AB23" s="52"/>
      <c r="AC23" s="52"/>
      <c r="AE23" s="52"/>
      <c r="AF23" s="52"/>
      <c r="AG23" s="52"/>
      <c r="AH23" s="52"/>
      <c r="AI23" s="52"/>
      <c r="AJ23" s="52"/>
      <c r="AK23" s="52"/>
      <c r="AL23" s="52"/>
      <c r="AM23" s="52"/>
      <c r="AN23" s="52"/>
      <c r="AO23" s="52"/>
      <c r="AP23" s="52"/>
      <c r="AQ23" s="52"/>
      <c r="AR23" s="52"/>
      <c r="AS23" s="52"/>
    </row>
    <row r="24" spans="1:45" ht="18.95" customHeight="1">
      <c r="A24" s="1144"/>
      <c r="B24" s="3437"/>
      <c r="C24" s="3438"/>
      <c r="D24" s="3438"/>
      <c r="E24" s="3438"/>
      <c r="F24" s="3439"/>
      <c r="G24" s="1145"/>
      <c r="H24" s="1145"/>
      <c r="I24" s="1145"/>
      <c r="J24" s="1043"/>
      <c r="K24" s="1039"/>
      <c r="L24" s="1039"/>
      <c r="M24" s="1039"/>
      <c r="N24" s="1103" t="s">
        <v>1584</v>
      </c>
      <c r="O24" s="1146"/>
      <c r="P24" s="1145"/>
      <c r="Q24" s="52"/>
      <c r="W24" s="52"/>
      <c r="X24" s="52"/>
      <c r="Y24" s="52"/>
      <c r="Z24" s="52"/>
      <c r="AA24" s="52"/>
      <c r="AB24" s="52"/>
      <c r="AC24" s="52"/>
      <c r="AE24" s="52"/>
      <c r="AF24" s="52"/>
      <c r="AG24" s="52"/>
      <c r="AH24" s="52"/>
      <c r="AI24" s="52"/>
      <c r="AJ24" s="52"/>
      <c r="AK24" s="52"/>
      <c r="AL24" s="52"/>
      <c r="AM24" s="52"/>
      <c r="AN24" s="52"/>
      <c r="AO24" s="52"/>
      <c r="AP24" s="52"/>
      <c r="AQ24" s="52"/>
      <c r="AR24" s="52"/>
      <c r="AS24" s="52"/>
    </row>
    <row r="25" spans="1:45" ht="18.95" customHeight="1" thickBot="1">
      <c r="A25" s="1144"/>
      <c r="B25" s="3440"/>
      <c r="C25" s="3441"/>
      <c r="D25" s="3441"/>
      <c r="E25" s="3441"/>
      <c r="F25" s="3442"/>
      <c r="G25" s="1783">
        <v>6</v>
      </c>
      <c r="H25" s="1145"/>
      <c r="I25" s="1145"/>
      <c r="J25" s="2389" t="s">
        <v>62</v>
      </c>
      <c r="K25" s="2390"/>
      <c r="L25" s="2390"/>
      <c r="M25" s="2390"/>
      <c r="N25" s="2378" t="str">
        <f>LEFT(ADDRESS(1,COLUMN(T84),4),LEN(ADDRESS(1,COLUMN(),4))-1)</f>
        <v>T</v>
      </c>
      <c r="O25" s="1146"/>
      <c r="P25" s="1145"/>
      <c r="Q25" s="52"/>
      <c r="W25" s="52"/>
      <c r="X25" s="52"/>
      <c r="Y25" s="52"/>
      <c r="Z25" s="52"/>
      <c r="AA25" s="52"/>
      <c r="AB25" s="52"/>
      <c r="AC25" s="52"/>
      <c r="AE25" s="52"/>
      <c r="AF25" s="52"/>
      <c r="AG25" s="52"/>
      <c r="AH25" s="52"/>
      <c r="AI25" s="52"/>
      <c r="AJ25" s="52"/>
      <c r="AK25" s="52"/>
      <c r="AL25" s="52"/>
      <c r="AM25" s="52"/>
      <c r="AN25" s="52"/>
      <c r="AO25" s="52"/>
      <c r="AP25" s="52"/>
      <c r="AQ25" s="52"/>
      <c r="AR25" s="52"/>
      <c r="AS25" s="52"/>
    </row>
    <row r="26" spans="1:45" ht="18.95" customHeight="1" thickBot="1">
      <c r="A26" s="1144"/>
      <c r="B26" s="1145"/>
      <c r="C26" s="1145"/>
      <c r="D26" s="1145"/>
      <c r="E26" s="1145"/>
      <c r="F26" s="1145"/>
      <c r="G26" s="1145"/>
      <c r="H26" s="1145"/>
      <c r="I26" s="1145"/>
      <c r="J26" s="1474" t="s">
        <v>61</v>
      </c>
      <c r="K26" s="1038" t="s">
        <v>60</v>
      </c>
      <c r="L26" s="1056" t="s">
        <v>63</v>
      </c>
      <c r="M26" s="1475"/>
      <c r="N26" s="2378"/>
      <c r="O26" s="1146"/>
      <c r="P26" s="1145"/>
      <c r="Q26" s="52"/>
      <c r="W26" s="52"/>
      <c r="X26" s="52"/>
      <c r="Y26" s="52"/>
      <c r="Z26" s="52"/>
      <c r="AA26" s="52"/>
      <c r="AB26" s="52"/>
      <c r="AC26" s="52"/>
      <c r="AE26" s="52"/>
      <c r="AF26" s="52"/>
      <c r="AG26" s="52"/>
      <c r="AH26" s="52"/>
      <c r="AI26" s="52"/>
      <c r="AJ26" s="52"/>
      <c r="AK26" s="52"/>
      <c r="AL26" s="52"/>
      <c r="AM26" s="52"/>
      <c r="AN26" s="52"/>
      <c r="AO26" s="52"/>
      <c r="AP26" s="52"/>
      <c r="AQ26" s="52"/>
      <c r="AR26" s="52"/>
      <c r="AS26" s="52"/>
    </row>
    <row r="27" spans="1:45" ht="18.95" customHeight="1">
      <c r="A27" s="1144"/>
      <c r="B27" s="3422" t="s">
        <v>671</v>
      </c>
      <c r="C27" s="3423"/>
      <c r="D27" s="3423"/>
      <c r="E27" s="3423"/>
      <c r="F27" s="687">
        <f>D29*1000</f>
        <v>1000</v>
      </c>
      <c r="G27" s="1145"/>
      <c r="H27" s="1145"/>
      <c r="I27" s="1145"/>
      <c r="J27" s="1083" t="str">
        <f>ADDRESS(ROW(Q84),COLUMN(Q84),4)</f>
        <v>Q84</v>
      </c>
      <c r="K27" s="1084" t="str">
        <f>ADDRESS(ROW(R84),COLUMN(R84),4)</f>
        <v>R84</v>
      </c>
      <c r="L27" s="1085" t="str">
        <f>ADDRESS(ROW(S84),COLUMN(S84),4)</f>
        <v>S84</v>
      </c>
      <c r="M27" s="1040"/>
      <c r="N27" s="1096"/>
      <c r="O27" s="1146"/>
      <c r="P27" s="1145"/>
      <c r="Q27" s="52"/>
      <c r="W27" s="52"/>
      <c r="X27" s="52"/>
      <c r="Y27" s="52"/>
      <c r="Z27" s="52"/>
      <c r="AA27" s="52"/>
      <c r="AB27" s="52"/>
      <c r="AC27" s="52"/>
      <c r="AE27" s="52"/>
      <c r="AF27" s="52"/>
      <c r="AG27" s="52"/>
      <c r="AH27" s="52"/>
      <c r="AI27" s="52"/>
      <c r="AJ27" s="52"/>
      <c r="AK27" s="52"/>
      <c r="AL27" s="52"/>
      <c r="AM27" s="52"/>
      <c r="AN27" s="52"/>
      <c r="AO27" s="52"/>
      <c r="AP27" s="52"/>
      <c r="AQ27" s="52"/>
      <c r="AR27" s="52"/>
      <c r="AS27" s="52"/>
    </row>
    <row r="28" spans="1:45" ht="18.95" customHeight="1">
      <c r="A28" s="1144"/>
      <c r="B28" s="691" t="s">
        <v>697</v>
      </c>
      <c r="C28" s="692"/>
      <c r="D28" s="692"/>
      <c r="E28" s="692"/>
      <c r="F28" s="345"/>
      <c r="G28" s="1145"/>
      <c r="H28" s="1145"/>
      <c r="I28" s="1145"/>
      <c r="J28" s="1044" t="s">
        <v>1562</v>
      </c>
      <c r="K28" s="1035"/>
      <c r="L28" s="1035"/>
      <c r="M28" s="1035"/>
      <c r="N28" s="1097" t="str">
        <f>ADDRESS(ROW(Q83),COLUMN(Q83),4)</f>
        <v>Q83</v>
      </c>
      <c r="O28" s="1146"/>
      <c r="P28" s="1145"/>
      <c r="Q28" s="52"/>
      <c r="W28" s="52"/>
      <c r="X28" s="52"/>
      <c r="Y28" s="52"/>
      <c r="Z28" s="52"/>
      <c r="AA28" s="52"/>
      <c r="AB28" s="52"/>
      <c r="AC28" s="52"/>
      <c r="AE28" s="52"/>
      <c r="AF28" s="52"/>
      <c r="AG28" s="52"/>
      <c r="AH28" s="52"/>
      <c r="AI28" s="52"/>
      <c r="AJ28" s="52"/>
      <c r="AK28" s="52"/>
      <c r="AL28" s="52"/>
      <c r="AM28" s="52"/>
      <c r="AN28" s="52"/>
      <c r="AO28" s="52"/>
      <c r="AP28" s="52"/>
      <c r="AQ28" s="52"/>
      <c r="AR28" s="52"/>
      <c r="AS28" s="52"/>
    </row>
    <row r="29" spans="1:45" ht="18.95" customHeight="1">
      <c r="A29" s="1144"/>
      <c r="B29" s="693"/>
      <c r="C29" s="696" t="s">
        <v>55</v>
      </c>
      <c r="D29" s="1781">
        <v>1</v>
      </c>
      <c r="E29" s="685" t="s">
        <v>54</v>
      </c>
      <c r="F29" s="1784">
        <f>F27-F30</f>
        <v>600</v>
      </c>
      <c r="G29" s="1145"/>
      <c r="H29" s="1145"/>
      <c r="I29" s="1145"/>
      <c r="J29" s="1785" t="s">
        <v>2020</v>
      </c>
      <c r="K29" s="1786" t="s">
        <v>1696</v>
      </c>
      <c r="L29" s="1786"/>
      <c r="M29" s="1786"/>
      <c r="N29" s="1787" t="s">
        <v>1501</v>
      </c>
      <c r="O29" s="1146"/>
      <c r="Q29" s="52"/>
      <c r="Y29" s="52"/>
      <c r="Z29" s="52"/>
      <c r="AA29" s="52"/>
      <c r="AB29" s="52"/>
      <c r="AC29" s="52"/>
      <c r="AE29" s="52"/>
      <c r="AF29" s="52"/>
      <c r="AG29" s="52"/>
      <c r="AH29" s="52"/>
      <c r="AI29" s="52"/>
      <c r="AJ29" s="52"/>
      <c r="AK29" s="52"/>
      <c r="AL29" s="52"/>
      <c r="AM29" s="52"/>
      <c r="AN29" s="52"/>
      <c r="AO29" s="52"/>
      <c r="AP29" s="52"/>
      <c r="AQ29" s="52"/>
      <c r="AR29" s="52"/>
      <c r="AS29" s="52"/>
    </row>
    <row r="30" spans="1:45" ht="18.95" customHeight="1">
      <c r="A30" s="1144"/>
      <c r="B30" s="693"/>
      <c r="C30" s="695" t="s">
        <v>50</v>
      </c>
      <c r="D30" s="689">
        <v>40</v>
      </c>
      <c r="E30" s="683" t="s">
        <v>51</v>
      </c>
      <c r="F30" s="690">
        <f>F27*D30%</f>
        <v>400</v>
      </c>
      <c r="G30" s="1145"/>
      <c r="H30" s="1145"/>
      <c r="I30" s="1145"/>
      <c r="J30" s="1048"/>
      <c r="K30" s="710"/>
      <c r="L30" s="710"/>
      <c r="M30" s="710"/>
      <c r="N30" s="1103"/>
      <c r="O30" s="1146"/>
      <c r="P30" s="1145"/>
      <c r="Q30" s="52"/>
      <c r="W30" s="52"/>
      <c r="X30" s="52"/>
      <c r="Y30" s="52"/>
      <c r="Z30" s="52"/>
      <c r="AA30" s="52"/>
      <c r="AB30" s="52"/>
      <c r="AC30" s="52"/>
      <c r="AE30" s="52"/>
      <c r="AF30" s="52"/>
      <c r="AG30" s="52"/>
      <c r="AH30" s="52"/>
      <c r="AI30" s="52"/>
      <c r="AJ30" s="52"/>
      <c r="AK30" s="52"/>
      <c r="AL30" s="52"/>
      <c r="AM30" s="52"/>
      <c r="AN30" s="52"/>
      <c r="AO30" s="52"/>
      <c r="AP30" s="52"/>
      <c r="AQ30" s="52"/>
      <c r="AR30" s="52"/>
      <c r="AS30" s="52"/>
    </row>
    <row r="31" spans="1:45" ht="18.95" customHeight="1">
      <c r="A31" s="1144"/>
      <c r="B31" s="693"/>
      <c r="C31" s="695"/>
      <c r="D31" s="683"/>
      <c r="E31" s="683"/>
      <c r="F31" s="690"/>
      <c r="G31" s="1145"/>
      <c r="H31" s="1145"/>
      <c r="I31" s="1145"/>
      <c r="J31" s="1046" t="s">
        <v>1563</v>
      </c>
      <c r="K31" s="1047"/>
      <c r="L31" s="1047"/>
      <c r="M31" s="1047"/>
      <c r="N31" s="1099" t="str">
        <f>ADDRESS(ROW(Q91),COLUMN(Q91),4)</f>
        <v>Q91</v>
      </c>
      <c r="O31" s="1146"/>
      <c r="P31" s="1145"/>
      <c r="Q31" s="52"/>
      <c r="W31" s="52"/>
      <c r="X31" s="52"/>
      <c r="Y31" s="52"/>
      <c r="Z31" s="52"/>
      <c r="AA31" s="52"/>
      <c r="AB31" s="52"/>
      <c r="AC31" s="52"/>
      <c r="AE31" s="52"/>
      <c r="AF31" s="52"/>
      <c r="AG31" s="52"/>
      <c r="AH31" s="52"/>
      <c r="AI31" s="52"/>
      <c r="AJ31" s="52"/>
      <c r="AK31" s="52"/>
      <c r="AL31" s="52"/>
      <c r="AM31" s="52"/>
      <c r="AN31" s="52"/>
      <c r="AO31" s="52"/>
      <c r="AP31" s="52"/>
      <c r="AQ31" s="52"/>
      <c r="AR31" s="52"/>
      <c r="AS31" s="52"/>
    </row>
    <row r="32" spans="1:45" ht="18.95" customHeight="1">
      <c r="A32" s="1144"/>
      <c r="B32" s="3445" t="s">
        <v>2021</v>
      </c>
      <c r="C32" s="3446"/>
      <c r="D32" s="3446"/>
      <c r="E32" s="3446"/>
      <c r="F32" s="3447"/>
      <c r="G32" s="1145"/>
      <c r="H32" s="1145"/>
      <c r="I32" s="1145"/>
      <c r="J32" s="1048" t="s">
        <v>696</v>
      </c>
      <c r="K32" s="347"/>
      <c r="L32" s="347"/>
      <c r="M32" s="710"/>
      <c r="N32" s="1049"/>
      <c r="O32" s="1146"/>
      <c r="P32" s="1145"/>
      <c r="Q32" s="52"/>
      <c r="W32" s="52"/>
      <c r="X32" s="52"/>
      <c r="Y32" s="52"/>
      <c r="Z32" s="52"/>
      <c r="AA32" s="52"/>
      <c r="AB32" s="52"/>
      <c r="AC32" s="52"/>
      <c r="AE32" s="52"/>
      <c r="AF32" s="52"/>
      <c r="AG32" s="52"/>
      <c r="AH32" s="52"/>
      <c r="AI32" s="52"/>
      <c r="AJ32" s="52"/>
      <c r="AK32" s="52"/>
      <c r="AL32" s="52"/>
      <c r="AM32" s="52"/>
      <c r="AN32" s="52"/>
      <c r="AO32" s="52"/>
      <c r="AP32" s="52"/>
      <c r="AQ32" s="52"/>
      <c r="AR32" s="52"/>
      <c r="AS32" s="52"/>
    </row>
    <row r="33" spans="1:45" ht="18.95" customHeight="1">
      <c r="A33" s="1144"/>
      <c r="B33" s="3186"/>
      <c r="C33" s="3187"/>
      <c r="D33" s="3187"/>
      <c r="E33" s="3187"/>
      <c r="F33" s="3188"/>
      <c r="G33" s="1783">
        <v>6</v>
      </c>
      <c r="H33" s="1145"/>
      <c r="I33" s="1145"/>
      <c r="J33" s="1048"/>
      <c r="K33" s="710"/>
      <c r="L33" s="710"/>
      <c r="M33" s="710"/>
      <c r="N33" s="1103"/>
      <c r="O33" s="1146"/>
      <c r="P33" s="1145"/>
      <c r="Q33" s="52"/>
      <c r="W33" s="52"/>
      <c r="X33" s="52"/>
      <c r="Y33" s="52"/>
      <c r="Z33" s="52"/>
      <c r="AA33" s="52"/>
      <c r="AB33" s="52"/>
      <c r="AC33" s="52"/>
      <c r="AE33" s="52"/>
      <c r="AF33" s="52"/>
      <c r="AG33" s="52"/>
      <c r="AH33" s="52"/>
      <c r="AI33" s="52"/>
      <c r="AJ33" s="52"/>
      <c r="AK33" s="52"/>
      <c r="AL33" s="52"/>
      <c r="AM33" s="52"/>
      <c r="AN33" s="52"/>
      <c r="AO33" s="52"/>
      <c r="AP33" s="52"/>
      <c r="AQ33" s="52"/>
      <c r="AR33" s="52"/>
      <c r="AS33" s="52"/>
    </row>
    <row r="34" spans="1:45" ht="18.95" customHeight="1">
      <c r="A34" s="1144"/>
      <c r="B34" s="3186"/>
      <c r="C34" s="3187"/>
      <c r="D34" s="3187"/>
      <c r="E34" s="3187"/>
      <c r="F34" s="3188"/>
      <c r="G34" s="1145"/>
      <c r="H34" s="1145"/>
      <c r="I34" s="1145"/>
      <c r="J34" s="1395" t="s">
        <v>1564</v>
      </c>
      <c r="K34" s="1349"/>
      <c r="L34" s="1349"/>
      <c r="M34" s="1349"/>
      <c r="N34" s="1396" t="str">
        <f>ADDRESS(ROW(Z83),COLUMN(Z83),4)</f>
        <v>Z83</v>
      </c>
      <c r="O34" s="1146"/>
      <c r="P34" s="1145"/>
      <c r="Q34" s="52"/>
      <c r="W34" s="52"/>
      <c r="X34" s="52"/>
      <c r="Y34" s="52"/>
      <c r="Z34" s="52"/>
      <c r="AA34" s="52"/>
      <c r="AB34" s="52"/>
      <c r="AC34" s="52"/>
      <c r="AE34" s="52"/>
      <c r="AF34" s="52"/>
      <c r="AG34" s="52"/>
      <c r="AH34" s="52"/>
      <c r="AI34" s="52"/>
      <c r="AJ34" s="52"/>
      <c r="AK34" s="52"/>
      <c r="AL34" s="52"/>
      <c r="AM34" s="52"/>
      <c r="AN34" s="52"/>
      <c r="AO34" s="52"/>
      <c r="AP34" s="52"/>
      <c r="AQ34" s="52"/>
      <c r="AR34" s="52"/>
      <c r="AS34" s="52"/>
    </row>
    <row r="35" spans="1:45" ht="18.95" customHeight="1" thickBot="1">
      <c r="A35" s="1144"/>
      <c r="B35" s="3189"/>
      <c r="C35" s="3190"/>
      <c r="D35" s="3190"/>
      <c r="E35" s="3190"/>
      <c r="F35" s="3191"/>
      <c r="G35" s="1145"/>
      <c r="H35" s="1145"/>
      <c r="I35" s="1145"/>
      <c r="J35" s="1066"/>
      <c r="K35" s="1067" t="s">
        <v>1583</v>
      </c>
      <c r="L35" s="710"/>
      <c r="M35" s="710"/>
      <c r="N35" s="1100"/>
      <c r="O35" s="1146"/>
      <c r="P35" s="1145"/>
      <c r="Q35" s="52"/>
      <c r="W35" s="52"/>
      <c r="X35" s="52"/>
      <c r="Y35" s="52"/>
      <c r="Z35" s="52"/>
      <c r="AA35" s="52"/>
      <c r="AB35" s="52"/>
      <c r="AC35" s="52"/>
      <c r="AE35" s="52"/>
      <c r="AF35" s="52"/>
      <c r="AG35" s="52"/>
      <c r="AH35" s="52"/>
      <c r="AI35" s="52"/>
      <c r="AJ35" s="52"/>
      <c r="AK35" s="52"/>
      <c r="AL35" s="52"/>
      <c r="AM35" s="52"/>
      <c r="AN35" s="52"/>
      <c r="AO35" s="52"/>
      <c r="AP35" s="52"/>
      <c r="AQ35" s="52"/>
      <c r="AR35" s="52"/>
      <c r="AS35" s="52"/>
    </row>
    <row r="36" spans="1:45" ht="18.95" customHeight="1" thickBot="1">
      <c r="A36" s="1144"/>
      <c r="B36" s="54"/>
      <c r="C36" s="54"/>
      <c r="D36" s="54"/>
      <c r="E36" s="54"/>
      <c r="F36" s="54"/>
      <c r="G36" s="1145"/>
      <c r="H36" s="1145"/>
      <c r="I36" s="1145"/>
      <c r="J36" s="1050" t="s">
        <v>1565</v>
      </c>
      <c r="K36" s="1036"/>
      <c r="L36" s="1036"/>
      <c r="M36" s="1036"/>
      <c r="N36" s="1101" t="str">
        <f>ADDRESS(ROW(Z84),COLUMN(Z84),4)</f>
        <v>Z84</v>
      </c>
      <c r="O36" s="1146"/>
      <c r="P36" s="1145"/>
      <c r="Q36" s="52"/>
      <c r="W36" s="52"/>
      <c r="X36" s="52"/>
      <c r="Y36" s="52"/>
      <c r="Z36" s="52"/>
      <c r="AA36" s="52"/>
      <c r="AB36" s="52"/>
      <c r="AC36" s="52"/>
      <c r="AE36" s="52"/>
      <c r="AF36" s="52"/>
      <c r="AG36" s="52"/>
      <c r="AH36" s="52"/>
      <c r="AI36" s="52"/>
      <c r="AJ36" s="52"/>
      <c r="AK36" s="52"/>
      <c r="AL36" s="52"/>
      <c r="AM36" s="52"/>
      <c r="AN36" s="52"/>
      <c r="AO36" s="52"/>
      <c r="AP36" s="52"/>
      <c r="AQ36" s="52"/>
      <c r="AR36" s="52"/>
      <c r="AS36" s="52"/>
    </row>
    <row r="37" spans="1:45" ht="18.95" customHeight="1">
      <c r="A37" s="1144"/>
      <c r="B37" s="3422" t="s">
        <v>672</v>
      </c>
      <c r="C37" s="3423"/>
      <c r="D37" s="3423"/>
      <c r="E37" s="3423"/>
      <c r="F37" s="687">
        <f>D39*1000</f>
        <v>100</v>
      </c>
      <c r="G37" s="1145"/>
      <c r="H37" s="1145"/>
      <c r="I37" s="1145"/>
      <c r="J37" s="1051"/>
      <c r="K37" s="1042"/>
      <c r="L37" s="1042"/>
      <c r="M37" s="1042"/>
      <c r="N37" s="1102"/>
      <c r="O37" s="1146"/>
      <c r="P37" s="1145"/>
      <c r="Q37" s="52"/>
      <c r="W37" s="52"/>
      <c r="X37" s="52"/>
      <c r="Y37" s="52"/>
      <c r="Z37" s="52"/>
      <c r="AA37" s="52"/>
      <c r="AB37" s="52"/>
      <c r="AC37" s="52"/>
      <c r="AE37" s="52"/>
      <c r="AF37" s="52"/>
      <c r="AG37" s="52"/>
      <c r="AH37" s="52"/>
      <c r="AI37" s="52"/>
      <c r="AJ37" s="52"/>
      <c r="AK37" s="52"/>
      <c r="AL37" s="52"/>
      <c r="AM37" s="52"/>
      <c r="AN37" s="52"/>
      <c r="AO37" s="52"/>
      <c r="AP37" s="52"/>
      <c r="AQ37" s="52"/>
      <c r="AR37" s="52"/>
      <c r="AS37" s="52"/>
    </row>
    <row r="38" spans="1:45" ht="18.95" customHeight="1">
      <c r="A38" s="1144"/>
      <c r="B38" s="691" t="s">
        <v>698</v>
      </c>
      <c r="C38" s="692"/>
      <c r="D38" s="692"/>
      <c r="E38" s="692"/>
      <c r="F38" s="345"/>
      <c r="G38" s="1145"/>
      <c r="H38" s="1145"/>
      <c r="I38" s="1145"/>
      <c r="J38" s="1052" t="s">
        <v>1606</v>
      </c>
      <c r="K38" s="1037"/>
      <c r="L38" s="1037"/>
      <c r="M38" s="1037"/>
      <c r="N38" s="1473" t="str">
        <f>ADDRESS(ROW(D80),COLUMN(D80),4)</f>
        <v>D80</v>
      </c>
      <c r="O38" s="1146"/>
      <c r="P38" s="1145"/>
      <c r="Q38" s="52"/>
      <c r="W38" s="52"/>
      <c r="X38" s="52"/>
      <c r="Y38" s="52"/>
      <c r="Z38" s="52"/>
      <c r="AA38" s="52"/>
      <c r="AB38" s="52"/>
      <c r="AC38" s="52"/>
      <c r="AE38" s="52"/>
      <c r="AF38" s="52"/>
      <c r="AG38" s="52"/>
      <c r="AH38" s="52"/>
      <c r="AI38" s="52"/>
      <c r="AJ38" s="52"/>
      <c r="AK38" s="52"/>
      <c r="AL38" s="52"/>
      <c r="AM38" s="52"/>
      <c r="AN38" s="52"/>
      <c r="AO38" s="52"/>
      <c r="AP38" s="52"/>
      <c r="AQ38" s="52"/>
      <c r="AR38" s="52"/>
      <c r="AS38" s="52"/>
    </row>
    <row r="39" spans="1:45" ht="18.95" customHeight="1">
      <c r="A39" s="1144"/>
      <c r="B39" s="693"/>
      <c r="C39" s="694" t="s">
        <v>54</v>
      </c>
      <c r="D39" s="1788">
        <v>0.1</v>
      </c>
      <c r="E39" s="684" t="s">
        <v>55</v>
      </c>
      <c r="F39" s="1789">
        <f>F37/(100-D40)*100</f>
        <v>166.66666666666669</v>
      </c>
      <c r="G39" s="1145"/>
      <c r="H39" s="1145"/>
      <c r="I39" s="1145"/>
      <c r="J39" s="1053" t="s">
        <v>1561</v>
      </c>
      <c r="K39" s="347"/>
      <c r="L39" s="347"/>
      <c r="M39" s="710"/>
      <c r="N39" s="1100"/>
      <c r="O39" s="1146"/>
      <c r="P39" s="1145"/>
      <c r="Q39" s="52"/>
      <c r="W39" s="52"/>
      <c r="X39" s="52"/>
      <c r="Y39" s="52"/>
      <c r="Z39" s="52"/>
      <c r="AA39" s="52"/>
      <c r="AB39" s="52"/>
      <c r="AC39" s="52"/>
      <c r="AE39" s="52"/>
      <c r="AF39" s="52"/>
      <c r="AG39" s="52"/>
      <c r="AH39" s="52"/>
      <c r="AI39" s="52"/>
      <c r="AJ39" s="52"/>
      <c r="AK39" s="52"/>
      <c r="AL39" s="52"/>
      <c r="AM39" s="52"/>
      <c r="AN39" s="52"/>
      <c r="AO39" s="52"/>
      <c r="AP39" s="52"/>
      <c r="AQ39" s="52"/>
      <c r="AR39" s="52"/>
      <c r="AS39" s="52"/>
    </row>
    <row r="40" spans="1:45" ht="18.95" customHeight="1">
      <c r="A40" s="1144"/>
      <c r="B40" s="693"/>
      <c r="C40" s="695" t="s">
        <v>50</v>
      </c>
      <c r="D40" s="1790">
        <v>40</v>
      </c>
      <c r="E40" s="679" t="s">
        <v>51</v>
      </c>
      <c r="F40" s="680">
        <f>F39-F37</f>
        <v>66.666666666666686</v>
      </c>
      <c r="G40" s="1145"/>
      <c r="H40" s="1145"/>
      <c r="I40" s="1145"/>
      <c r="J40" s="1054"/>
      <c r="K40" s="710"/>
      <c r="L40" s="710"/>
      <c r="M40" s="710"/>
      <c r="N40" s="1100"/>
      <c r="O40" s="1146"/>
      <c r="P40" s="1145"/>
      <c r="Q40" s="52"/>
      <c r="W40" s="52"/>
      <c r="X40" s="52"/>
      <c r="Y40" s="52"/>
      <c r="Z40" s="52"/>
      <c r="AA40" s="52"/>
      <c r="AB40" s="52"/>
      <c r="AC40" s="52"/>
      <c r="AE40" s="52"/>
      <c r="AF40" s="52"/>
      <c r="AG40" s="52"/>
      <c r="AH40" s="52"/>
      <c r="AI40" s="52"/>
      <c r="AJ40" s="52"/>
      <c r="AK40" s="52"/>
      <c r="AL40" s="52"/>
      <c r="AM40" s="52"/>
      <c r="AN40" s="52"/>
      <c r="AO40" s="52"/>
      <c r="AP40" s="52"/>
      <c r="AQ40" s="52"/>
      <c r="AR40" s="52"/>
      <c r="AS40" s="52"/>
    </row>
    <row r="41" spans="1:45" ht="18.95" customHeight="1">
      <c r="A41" s="1144"/>
      <c r="B41" s="693"/>
      <c r="C41" s="695"/>
      <c r="D41" s="679"/>
      <c r="E41" s="679"/>
      <c r="F41" s="680"/>
      <c r="G41" s="1145"/>
      <c r="H41" s="1145"/>
      <c r="I41" s="1145"/>
      <c r="J41" s="2399" t="s">
        <v>1568</v>
      </c>
      <c r="K41" s="2400"/>
      <c r="L41" s="2400"/>
      <c r="M41" s="2400"/>
      <c r="N41" s="2401" t="str">
        <f>ADDRESS(ROW(D82),COLUMN(D82),4)</f>
        <v>D82</v>
      </c>
      <c r="O41" s="1146"/>
      <c r="P41" s="1145"/>
      <c r="Q41" s="52"/>
      <c r="W41" s="52"/>
      <c r="X41" s="52"/>
      <c r="Y41" s="52"/>
      <c r="Z41" s="52"/>
      <c r="AA41" s="52"/>
      <c r="AB41" s="52"/>
      <c r="AC41" s="52"/>
      <c r="AE41" s="52"/>
      <c r="AF41" s="52"/>
      <c r="AG41" s="52"/>
      <c r="AH41" s="52"/>
      <c r="AI41" s="52"/>
      <c r="AJ41" s="52"/>
      <c r="AK41" s="52"/>
      <c r="AL41" s="52"/>
      <c r="AM41" s="52"/>
      <c r="AN41" s="52"/>
      <c r="AO41" s="52"/>
      <c r="AP41" s="52"/>
      <c r="AQ41" s="52"/>
      <c r="AR41" s="52"/>
      <c r="AS41" s="52"/>
    </row>
    <row r="42" spans="1:45" ht="18.95" customHeight="1">
      <c r="A42" s="1144"/>
      <c r="B42" s="3434" t="s">
        <v>2022</v>
      </c>
      <c r="C42" s="3435"/>
      <c r="D42" s="3435"/>
      <c r="E42" s="3435"/>
      <c r="F42" s="3436"/>
      <c r="G42" s="1145"/>
      <c r="H42" s="1145"/>
      <c r="I42" s="1145"/>
      <c r="J42" s="2399"/>
      <c r="K42" s="2400"/>
      <c r="L42" s="2400"/>
      <c r="M42" s="2400"/>
      <c r="N42" s="2401"/>
      <c r="O42" s="1146"/>
      <c r="P42" s="1145"/>
      <c r="Q42" s="52"/>
      <c r="W42" s="52"/>
      <c r="X42" s="52"/>
      <c r="Y42" s="52"/>
      <c r="Z42" s="52"/>
      <c r="AA42" s="52"/>
      <c r="AB42" s="52"/>
      <c r="AC42" s="52"/>
      <c r="AE42" s="52"/>
      <c r="AF42" s="52"/>
      <c r="AG42" s="52"/>
      <c r="AH42" s="52"/>
      <c r="AI42" s="52"/>
      <c r="AJ42" s="52"/>
      <c r="AK42" s="52"/>
      <c r="AL42" s="52"/>
      <c r="AM42" s="52"/>
      <c r="AN42" s="52"/>
      <c r="AO42" s="52"/>
      <c r="AP42" s="52"/>
      <c r="AQ42" s="52"/>
      <c r="AR42" s="52"/>
      <c r="AS42" s="52"/>
    </row>
    <row r="43" spans="1:45" ht="18.95" customHeight="1">
      <c r="A43" s="1144"/>
      <c r="B43" s="3437"/>
      <c r="C43" s="3438"/>
      <c r="D43" s="3438"/>
      <c r="E43" s="3438"/>
      <c r="F43" s="3439"/>
      <c r="G43" s="1145"/>
      <c r="H43" s="1145"/>
      <c r="I43" s="1145"/>
      <c r="J43" s="681"/>
      <c r="K43" s="1"/>
      <c r="L43" s="1"/>
      <c r="M43" s="1"/>
      <c r="N43" s="2"/>
      <c r="O43" s="1146"/>
      <c r="P43" s="1145"/>
      <c r="Q43" s="52"/>
      <c r="W43" s="52"/>
      <c r="X43" s="52"/>
      <c r="Y43" s="52"/>
      <c r="Z43" s="52"/>
      <c r="AA43" s="52"/>
      <c r="AB43" s="52"/>
      <c r="AC43" s="52"/>
      <c r="AE43" s="52"/>
      <c r="AF43" s="52"/>
      <c r="AG43" s="52"/>
      <c r="AH43" s="52"/>
      <c r="AI43" s="52"/>
      <c r="AJ43" s="52"/>
      <c r="AK43" s="52"/>
      <c r="AL43" s="52"/>
      <c r="AM43" s="52"/>
      <c r="AN43" s="52"/>
      <c r="AO43" s="52"/>
      <c r="AP43" s="52"/>
      <c r="AQ43" s="52"/>
      <c r="AR43" s="52"/>
      <c r="AS43" s="52"/>
    </row>
    <row r="44" spans="1:45" ht="18.95" customHeight="1">
      <c r="A44" s="1144"/>
      <c r="B44" s="3437"/>
      <c r="C44" s="3438"/>
      <c r="D44" s="3438"/>
      <c r="E44" s="3438"/>
      <c r="F44" s="3439"/>
      <c r="G44" s="1145"/>
      <c r="H44" s="1145"/>
      <c r="I44" s="1145"/>
      <c r="J44" s="3443" t="s">
        <v>1582</v>
      </c>
      <c r="K44" s="3444"/>
      <c r="L44" s="3444"/>
      <c r="M44" s="3444"/>
      <c r="N44" s="2537" t="str">
        <f>ADDRESS(ROW(M80),COLUMN(M80),4)</f>
        <v>M80</v>
      </c>
      <c r="O44" s="1146"/>
      <c r="P44" s="1145"/>
      <c r="Q44" s="52"/>
      <c r="W44" s="52"/>
      <c r="X44" s="52"/>
      <c r="Y44" s="52"/>
      <c r="Z44" s="52"/>
      <c r="AA44" s="52"/>
      <c r="AB44" s="52"/>
      <c r="AC44" s="52"/>
      <c r="AE44" s="52"/>
      <c r="AF44" s="52"/>
      <c r="AG44" s="52"/>
      <c r="AH44" s="52"/>
      <c r="AI44" s="52"/>
      <c r="AJ44" s="52"/>
      <c r="AK44" s="52"/>
      <c r="AL44" s="52"/>
      <c r="AM44" s="52"/>
      <c r="AN44" s="52"/>
      <c r="AO44" s="52"/>
      <c r="AP44" s="52"/>
      <c r="AQ44" s="52"/>
      <c r="AR44" s="52"/>
      <c r="AS44" s="52"/>
    </row>
    <row r="45" spans="1:45" ht="18.95" customHeight="1" thickBot="1">
      <c r="A45" s="1144"/>
      <c r="B45" s="3440"/>
      <c r="C45" s="3441"/>
      <c r="D45" s="3441"/>
      <c r="E45" s="3441"/>
      <c r="F45" s="3442"/>
      <c r="G45" s="1783">
        <v>6</v>
      </c>
      <c r="H45" s="1145"/>
      <c r="I45" s="1145"/>
      <c r="J45" s="2403" t="s">
        <v>1587</v>
      </c>
      <c r="K45" s="2404"/>
      <c r="L45" s="2404"/>
      <c r="M45" s="2404"/>
      <c r="N45" s="2537"/>
      <c r="O45" s="1146"/>
      <c r="P45" s="1145"/>
      <c r="Q45" s="52"/>
      <c r="W45" s="52"/>
      <c r="X45" s="52"/>
      <c r="Y45" s="52"/>
      <c r="Z45" s="52"/>
      <c r="AA45" s="52"/>
      <c r="AB45" s="52"/>
      <c r="AC45" s="52"/>
      <c r="AE45" s="52"/>
      <c r="AF45" s="52"/>
      <c r="AG45" s="52"/>
      <c r="AH45" s="52"/>
      <c r="AI45" s="52"/>
      <c r="AJ45" s="52"/>
      <c r="AK45" s="52"/>
      <c r="AL45" s="52"/>
      <c r="AM45" s="52"/>
      <c r="AN45" s="52"/>
      <c r="AO45" s="52"/>
      <c r="AP45" s="52"/>
      <c r="AQ45" s="52"/>
      <c r="AR45" s="52"/>
      <c r="AS45" s="52"/>
    </row>
    <row r="46" spans="1:45" ht="18.95" customHeight="1">
      <c r="A46" s="1144"/>
      <c r="B46" s="1145"/>
      <c r="C46" s="1145"/>
      <c r="D46" s="1145"/>
      <c r="E46" s="1145"/>
      <c r="F46" s="1145"/>
      <c r="G46" s="1145"/>
      <c r="H46" s="1145"/>
      <c r="I46" s="1145"/>
      <c r="J46" s="2403"/>
      <c r="K46" s="2404"/>
      <c r="L46" s="2404"/>
      <c r="M46" s="2404"/>
      <c r="N46" s="2537"/>
      <c r="O46" s="1146"/>
      <c r="P46" s="1145"/>
      <c r="Q46" s="52"/>
      <c r="W46" s="52"/>
      <c r="X46" s="52"/>
      <c r="Y46" s="52"/>
      <c r="Z46" s="52"/>
      <c r="AA46" s="52"/>
      <c r="AB46" s="52"/>
      <c r="AC46" s="52"/>
      <c r="AE46" s="52"/>
      <c r="AF46" s="52"/>
      <c r="AG46" s="52"/>
      <c r="AH46" s="52"/>
      <c r="AI46" s="52"/>
      <c r="AJ46" s="52"/>
      <c r="AK46" s="52"/>
      <c r="AL46" s="52"/>
      <c r="AM46" s="52"/>
      <c r="AN46" s="52"/>
      <c r="AO46" s="52"/>
      <c r="AP46" s="52"/>
      <c r="AQ46" s="52"/>
      <c r="AR46" s="52"/>
      <c r="AS46" s="52"/>
    </row>
    <row r="47" spans="1:45" ht="18.95" customHeight="1">
      <c r="A47" s="1144"/>
      <c r="B47" s="1791"/>
      <c r="C47" s="1145"/>
      <c r="D47" s="1145"/>
      <c r="E47" s="1792" t="s">
        <v>2023</v>
      </c>
      <c r="F47" s="1471" t="str">
        <f>'Mode d''emploi'!$Z$77</f>
        <v>Z</v>
      </c>
      <c r="G47" s="1145"/>
      <c r="H47" s="1145"/>
      <c r="I47" s="1145"/>
      <c r="J47" s="2522" t="s">
        <v>1601</v>
      </c>
      <c r="K47" s="2523"/>
      <c r="L47" s="2523"/>
      <c r="M47" s="2523"/>
      <c r="N47" s="2409" t="str">
        <f>ADDRESS(ROW(D80),COLUMN(D80),4)</f>
        <v>D80</v>
      </c>
      <c r="O47" s="1146"/>
      <c r="P47" s="1145"/>
      <c r="Q47" s="52"/>
      <c r="W47" s="52"/>
      <c r="X47" s="52"/>
      <c r="Y47" s="52"/>
      <c r="Z47" s="52"/>
      <c r="AA47" s="52"/>
      <c r="AB47" s="52"/>
      <c r="AC47" s="52"/>
      <c r="AE47" s="52"/>
      <c r="AF47" s="52"/>
      <c r="AG47" s="52"/>
      <c r="AH47" s="52"/>
      <c r="AI47" s="52"/>
      <c r="AJ47" s="52"/>
      <c r="AK47" s="52"/>
      <c r="AL47" s="52"/>
      <c r="AM47" s="52"/>
      <c r="AN47" s="52"/>
      <c r="AO47" s="52"/>
      <c r="AP47" s="52"/>
      <c r="AQ47" s="52"/>
      <c r="AR47" s="52"/>
      <c r="AS47" s="52"/>
    </row>
    <row r="48" spans="1:45" ht="18.95" customHeight="1">
      <c r="A48" s="1144"/>
      <c r="B48" s="1145"/>
      <c r="C48" s="1145"/>
      <c r="D48" s="1145"/>
      <c r="E48" s="1145"/>
      <c r="F48" s="1145"/>
      <c r="G48" s="1145"/>
      <c r="H48" s="1145"/>
      <c r="I48" s="1145"/>
      <c r="J48" s="2607"/>
      <c r="K48" s="2525"/>
      <c r="L48" s="2525"/>
      <c r="M48" s="2525"/>
      <c r="N48" s="2410"/>
      <c r="O48" s="1146"/>
      <c r="P48" s="1145"/>
      <c r="Q48" s="52"/>
      <c r="W48" s="52"/>
      <c r="X48" s="52"/>
      <c r="Y48" s="52"/>
      <c r="Z48" s="52"/>
      <c r="AA48" s="52"/>
      <c r="AB48" s="52"/>
      <c r="AC48" s="52"/>
      <c r="AE48" s="52"/>
      <c r="AF48" s="52"/>
      <c r="AG48" s="52"/>
      <c r="AH48" s="52"/>
      <c r="AI48" s="52"/>
      <c r="AJ48" s="52"/>
      <c r="AK48" s="52"/>
      <c r="AL48" s="52"/>
      <c r="AM48" s="52"/>
      <c r="AN48" s="52"/>
      <c r="AO48" s="52"/>
      <c r="AP48" s="52"/>
      <c r="AQ48" s="52"/>
      <c r="AR48" s="52"/>
      <c r="AS48" s="52"/>
    </row>
    <row r="49" spans="1:45" ht="18.95" customHeight="1">
      <c r="A49" s="1144"/>
      <c r="B49" s="2492" t="s">
        <v>2024</v>
      </c>
      <c r="C49" s="2492"/>
      <c r="D49" s="2492"/>
      <c r="E49" s="2492"/>
      <c r="F49" s="2492"/>
      <c r="G49" s="1145"/>
      <c r="H49" s="1145"/>
      <c r="I49" s="1145"/>
      <c r="J49" s="2391" t="str">
        <f>ADDRESS(ROW(J80),COLUMN(J80),4)</f>
        <v>J80</v>
      </c>
      <c r="K49" s="3452" t="s">
        <v>1707</v>
      </c>
      <c r="L49" s="3452"/>
      <c r="M49" s="3453" t="s">
        <v>1708</v>
      </c>
      <c r="N49" s="2631">
        <f>N80</f>
        <v>14.583333333333334</v>
      </c>
      <c r="O49" s="1146"/>
      <c r="P49" s="1145"/>
      <c r="Q49" s="52"/>
      <c r="W49" s="52"/>
      <c r="X49" s="52"/>
      <c r="Y49" s="52"/>
      <c r="Z49" s="52"/>
      <c r="AA49" s="52"/>
      <c r="AB49" s="52"/>
      <c r="AC49" s="52"/>
      <c r="AE49" s="52"/>
      <c r="AF49" s="52"/>
      <c r="AG49" s="52"/>
      <c r="AH49" s="52"/>
      <c r="AI49" s="52"/>
      <c r="AJ49" s="52"/>
      <c r="AK49" s="52"/>
      <c r="AL49" s="52"/>
      <c r="AM49" s="52"/>
      <c r="AN49" s="52"/>
      <c r="AO49" s="52"/>
      <c r="AP49" s="52"/>
      <c r="AQ49" s="52"/>
      <c r="AR49" s="52"/>
      <c r="AS49" s="52"/>
    </row>
    <row r="50" spans="1:45" ht="18.95" customHeight="1">
      <c r="A50" s="1144"/>
      <c r="B50" s="2492" t="s">
        <v>2025</v>
      </c>
      <c r="C50" s="2492"/>
      <c r="D50" s="2492"/>
      <c r="E50" s="2492"/>
      <c r="F50" s="2492"/>
      <c r="G50" s="1145"/>
      <c r="H50" s="1145"/>
      <c r="I50" s="1145"/>
      <c r="J50" s="2392"/>
      <c r="K50" s="2394"/>
      <c r="L50" s="2394"/>
      <c r="M50" s="2396"/>
      <c r="N50" s="2446"/>
      <c r="O50" s="1146"/>
      <c r="P50" s="1145"/>
      <c r="Q50" s="52"/>
      <c r="W50" s="52"/>
      <c r="X50" s="52"/>
      <c r="Y50" s="52"/>
      <c r="Z50" s="52"/>
      <c r="AA50" s="52"/>
      <c r="AB50" s="52"/>
      <c r="AC50" s="52"/>
      <c r="AE50" s="52"/>
      <c r="AF50" s="52"/>
      <c r="AG50" s="52"/>
      <c r="AH50" s="52"/>
      <c r="AI50" s="52"/>
      <c r="AJ50" s="52"/>
      <c r="AK50" s="52"/>
      <c r="AL50" s="52"/>
      <c r="AM50" s="52"/>
      <c r="AN50" s="52"/>
      <c r="AO50" s="52"/>
      <c r="AP50" s="52"/>
      <c r="AQ50" s="52"/>
      <c r="AR50" s="52"/>
      <c r="AS50" s="52"/>
    </row>
    <row r="51" spans="1:45" ht="18.95" customHeight="1">
      <c r="A51" s="1144"/>
      <c r="B51" s="3448" t="s">
        <v>2026</v>
      </c>
      <c r="C51" s="3448"/>
      <c r="D51" s="3448"/>
      <c r="E51" s="3448"/>
      <c r="F51" s="3448"/>
      <c r="G51" s="1145"/>
      <c r="H51" s="1145"/>
      <c r="I51" s="1145"/>
      <c r="J51" s="1399" t="str">
        <f>ADDRESS(ROW(J82),COLUMN(J82),4)</f>
        <v>J82</v>
      </c>
      <c r="K51" s="1793" t="s">
        <v>1592</v>
      </c>
      <c r="L51" s="1794"/>
      <c r="M51" s="1795"/>
      <c r="N51" s="1400"/>
      <c r="O51" s="1146"/>
      <c r="P51" s="1145"/>
      <c r="Q51" s="52"/>
      <c r="W51" s="52"/>
      <c r="X51" s="52"/>
      <c r="Y51" s="52"/>
      <c r="Z51" s="52"/>
      <c r="AA51" s="52"/>
      <c r="AB51" s="52"/>
      <c r="AC51" s="52"/>
      <c r="AE51" s="52"/>
      <c r="AF51" s="52"/>
      <c r="AG51" s="52"/>
      <c r="AH51" s="52"/>
      <c r="AI51" s="52"/>
      <c r="AJ51" s="52"/>
      <c r="AK51" s="52"/>
      <c r="AL51" s="52"/>
      <c r="AM51" s="52"/>
      <c r="AN51" s="52"/>
      <c r="AO51" s="52"/>
      <c r="AP51" s="52"/>
      <c r="AQ51" s="52"/>
      <c r="AR51" s="52"/>
      <c r="AS51" s="52"/>
    </row>
    <row r="52" spans="1:45" ht="18.95" customHeight="1">
      <c r="A52" s="1144"/>
      <c r="B52" s="3448"/>
      <c r="C52" s="3448"/>
      <c r="D52" s="3448"/>
      <c r="E52" s="3448"/>
      <c r="F52" s="3448"/>
      <c r="G52" s="1145"/>
      <c r="H52" s="1145"/>
      <c r="I52" s="1145"/>
      <c r="J52" s="1796" t="str">
        <f>ADDRESS(ROW(J83),COLUMN(J83),4)</f>
        <v>J83</v>
      </c>
      <c r="K52" s="1080" t="s">
        <v>1591</v>
      </c>
      <c r="L52" s="1081"/>
      <c r="M52" s="1121" t="s">
        <v>1599</v>
      </c>
      <c r="N52" s="1122">
        <v>0.4</v>
      </c>
      <c r="O52" s="1146"/>
      <c r="P52" s="1145"/>
      <c r="Q52" s="52"/>
      <c r="W52" s="52"/>
      <c r="X52" s="52"/>
      <c r="Y52" s="52"/>
      <c r="Z52" s="52"/>
      <c r="AA52" s="52"/>
      <c r="AB52" s="52"/>
      <c r="AC52" s="52"/>
      <c r="AE52" s="52"/>
      <c r="AF52" s="52"/>
      <c r="AG52" s="52"/>
      <c r="AH52" s="52"/>
      <c r="AI52" s="52"/>
      <c r="AJ52" s="52"/>
      <c r="AK52" s="52"/>
      <c r="AL52" s="52"/>
      <c r="AM52" s="52"/>
      <c r="AN52" s="52"/>
      <c r="AO52" s="52"/>
      <c r="AP52" s="52"/>
      <c r="AQ52" s="52"/>
      <c r="AR52" s="52"/>
      <c r="AS52" s="52"/>
    </row>
    <row r="53" spans="1:45" ht="18.95" customHeight="1">
      <c r="A53" s="1144"/>
      <c r="B53" s="3448"/>
      <c r="C53" s="3448"/>
      <c r="D53" s="3448"/>
      <c r="E53" s="3448"/>
      <c r="F53" s="3448"/>
      <c r="G53" s="1783">
        <v>6</v>
      </c>
      <c r="H53" s="1145"/>
      <c r="I53" s="1145"/>
      <c r="J53" s="1137"/>
      <c r="K53" s="1133"/>
      <c r="L53" s="1134"/>
      <c r="M53" s="1135"/>
      <c r="N53" s="1136"/>
      <c r="O53" s="1146"/>
      <c r="P53" s="1145"/>
      <c r="Q53" s="52"/>
      <c r="W53" s="52"/>
      <c r="X53" s="52"/>
      <c r="Y53" s="52"/>
      <c r="Z53" s="52"/>
      <c r="AA53" s="52"/>
      <c r="AB53" s="52"/>
      <c r="AC53" s="52"/>
      <c r="AE53" s="52"/>
      <c r="AF53" s="52"/>
      <c r="AG53" s="52"/>
      <c r="AH53" s="52"/>
      <c r="AI53" s="52"/>
      <c r="AJ53" s="52"/>
      <c r="AK53" s="52"/>
      <c r="AL53" s="52"/>
      <c r="AM53" s="52"/>
      <c r="AN53" s="52"/>
      <c r="AO53" s="52"/>
      <c r="AP53" s="52"/>
      <c r="AQ53" s="52"/>
      <c r="AR53" s="52"/>
      <c r="AS53" s="52"/>
    </row>
    <row r="54" spans="1:45" ht="18.95" customHeight="1">
      <c r="A54" s="1144"/>
      <c r="B54" s="3448"/>
      <c r="C54" s="3448"/>
      <c r="D54" s="3448"/>
      <c r="E54" s="3448"/>
      <c r="F54" s="3448"/>
      <c r="G54" s="1145"/>
      <c r="H54" s="1145"/>
      <c r="I54" s="1145"/>
      <c r="J54" s="2527" t="s">
        <v>1714</v>
      </c>
      <c r="K54" s="3449"/>
      <c r="L54" s="3449"/>
      <c r="M54" s="3449"/>
      <c r="N54" s="1470" t="str">
        <f>ADDRESS(ROW(D92),COLUMN(D92),4)</f>
        <v>D92</v>
      </c>
      <c r="O54" s="1146"/>
      <c r="P54" s="1145"/>
      <c r="Q54" s="52"/>
      <c r="W54" s="52"/>
      <c r="X54" s="52"/>
      <c r="Y54" s="52"/>
      <c r="Z54" s="52"/>
      <c r="AA54" s="52"/>
      <c r="AB54" s="52"/>
      <c r="AC54" s="52"/>
      <c r="AE54" s="52"/>
      <c r="AF54" s="52"/>
      <c r="AG54" s="52"/>
      <c r="AH54" s="52"/>
      <c r="AI54" s="52"/>
      <c r="AJ54" s="52"/>
      <c r="AK54" s="52"/>
      <c r="AL54" s="52"/>
      <c r="AM54" s="52"/>
      <c r="AN54" s="52"/>
      <c r="AO54" s="52"/>
      <c r="AP54" s="52"/>
      <c r="AQ54" s="52"/>
      <c r="AR54" s="52"/>
      <c r="AS54" s="52"/>
    </row>
    <row r="55" spans="1:45" ht="18.95" customHeight="1">
      <c r="A55" s="1144"/>
      <c r="B55" s="2492" t="s">
        <v>2027</v>
      </c>
      <c r="C55" s="2492"/>
      <c r="D55" s="2492"/>
      <c r="E55" s="2492"/>
      <c r="F55" s="2492"/>
      <c r="G55" s="1145"/>
      <c r="H55" s="1145"/>
      <c r="I55" s="1145"/>
      <c r="J55" s="681"/>
      <c r="K55" s="44"/>
      <c r="L55" s="44"/>
      <c r="M55" s="44"/>
      <c r="N55" s="1401"/>
      <c r="O55" s="1146"/>
      <c r="P55" s="1145"/>
      <c r="Q55" s="52"/>
      <c r="W55" s="52"/>
      <c r="X55" s="52"/>
      <c r="Y55" s="52"/>
      <c r="Z55" s="52"/>
      <c r="AA55" s="52"/>
      <c r="AB55" s="52"/>
      <c r="AC55" s="52"/>
      <c r="AE55" s="52"/>
      <c r="AF55" s="52"/>
      <c r="AG55" s="52"/>
      <c r="AH55" s="52"/>
      <c r="AI55" s="52"/>
      <c r="AJ55" s="52"/>
      <c r="AK55" s="52"/>
      <c r="AL55" s="52"/>
      <c r="AM55" s="52"/>
      <c r="AN55" s="52"/>
      <c r="AO55" s="52"/>
      <c r="AP55" s="52"/>
      <c r="AQ55" s="52"/>
      <c r="AR55" s="52"/>
      <c r="AS55" s="52"/>
    </row>
    <row r="56" spans="1:45" ht="18.95" customHeight="1">
      <c r="A56" s="1144"/>
      <c r="B56" s="1935" t="s">
        <v>7</v>
      </c>
      <c r="C56" s="1934" t="str">
        <f ca="1">CELL("nomfichier")</f>
        <v>F:\Bureau\pour UPRT 5 decembre\[re-boudins-blancs.xlsx]CONTENU</v>
      </c>
      <c r="D56" s="1145"/>
      <c r="E56" s="1145"/>
      <c r="F56" s="1145"/>
      <c r="G56" s="1145"/>
      <c r="H56" s="1145"/>
      <c r="I56" s="1145"/>
      <c r="J56" s="2529" t="s">
        <v>1578</v>
      </c>
      <c r="K56" s="2530"/>
      <c r="L56" s="2530"/>
      <c r="M56" s="2531"/>
      <c r="N56" s="1470" t="str">
        <f>'Mode d''emploi'!B92</f>
        <v>B92</v>
      </c>
      <c r="O56" s="1146"/>
      <c r="P56" s="1145"/>
      <c r="Q56" s="52"/>
      <c r="W56" s="52"/>
      <c r="X56" s="52"/>
      <c r="Y56" s="52"/>
      <c r="Z56" s="52"/>
      <c r="AA56" s="52"/>
      <c r="AB56" s="52"/>
      <c r="AC56" s="52"/>
      <c r="AE56" s="52"/>
      <c r="AF56" s="52"/>
      <c r="AG56" s="52"/>
      <c r="AH56" s="52"/>
      <c r="AI56" s="52"/>
      <c r="AJ56" s="52"/>
      <c r="AK56" s="52"/>
      <c r="AL56" s="52"/>
      <c r="AM56" s="52"/>
      <c r="AN56" s="52"/>
      <c r="AO56" s="52"/>
      <c r="AP56" s="52"/>
      <c r="AQ56" s="52"/>
      <c r="AR56" s="52"/>
      <c r="AS56" s="52"/>
    </row>
    <row r="57" spans="1:45" ht="18.95" customHeight="1" thickBot="1">
      <c r="A57" s="1144"/>
      <c r="B57" s="1145"/>
      <c r="C57" s="1145"/>
      <c r="D57" s="1145"/>
      <c r="E57" s="1145"/>
      <c r="F57" s="1145"/>
      <c r="G57" s="1145"/>
      <c r="H57" s="1145"/>
      <c r="I57" s="1145"/>
      <c r="J57" s="2532" t="s">
        <v>1579</v>
      </c>
      <c r="K57" s="2533"/>
      <c r="L57" s="2533"/>
      <c r="M57" s="2533"/>
      <c r="N57" s="1065" t="str">
        <f>'Mode d''emploi'!B93</f>
        <v>B93</v>
      </c>
      <c r="O57" s="1146"/>
      <c r="P57" s="1145"/>
      <c r="Q57" s="52"/>
      <c r="W57" s="52"/>
      <c r="X57" s="52"/>
      <c r="Y57" s="52"/>
      <c r="Z57" s="52"/>
      <c r="AA57" s="52"/>
      <c r="AB57" s="52"/>
      <c r="AC57" s="52"/>
      <c r="AE57" s="52"/>
      <c r="AF57" s="52"/>
      <c r="AG57" s="52"/>
      <c r="AH57" s="52"/>
      <c r="AI57" s="52"/>
      <c r="AJ57" s="52"/>
      <c r="AK57" s="52"/>
      <c r="AL57" s="52"/>
      <c r="AM57" s="52"/>
      <c r="AN57" s="52"/>
      <c r="AO57" s="52"/>
      <c r="AP57" s="52"/>
      <c r="AQ57" s="52"/>
      <c r="AR57" s="52"/>
      <c r="AS57" s="52"/>
    </row>
    <row r="58" spans="1:45" ht="18.95" customHeight="1">
      <c r="A58" s="1144"/>
      <c r="B58" s="1145"/>
      <c r="C58" s="1145"/>
      <c r="D58" s="1145"/>
      <c r="E58" s="1145"/>
      <c r="F58" s="1145"/>
      <c r="G58" s="1145"/>
      <c r="H58" s="1145"/>
      <c r="I58" s="1145"/>
      <c r="J58" s="3450" t="s">
        <v>1580</v>
      </c>
      <c r="K58" s="3451"/>
      <c r="L58" s="3451"/>
      <c r="M58" s="3451"/>
      <c r="N58" s="1470" t="str">
        <f>'Mode d''emploi'!B94</f>
        <v>B94</v>
      </c>
      <c r="O58" s="1146"/>
      <c r="P58" s="1145"/>
      <c r="Q58" s="52"/>
      <c r="W58" s="52"/>
      <c r="X58" s="52"/>
      <c r="Y58" s="52"/>
      <c r="Z58" s="52"/>
      <c r="AA58" s="52"/>
      <c r="AB58" s="52"/>
      <c r="AC58" s="52"/>
      <c r="AE58" s="52"/>
      <c r="AF58" s="52"/>
      <c r="AG58" s="52"/>
      <c r="AH58" s="52"/>
      <c r="AI58" s="52"/>
      <c r="AJ58" s="52"/>
      <c r="AK58" s="52"/>
      <c r="AL58" s="52"/>
      <c r="AM58" s="52"/>
      <c r="AN58" s="52"/>
      <c r="AO58" s="52"/>
      <c r="AP58" s="52"/>
      <c r="AQ58" s="52"/>
      <c r="AR58" s="52"/>
      <c r="AS58" s="52"/>
    </row>
    <row r="59" spans="1:45" ht="18.95" customHeight="1">
      <c r="A59" s="1144"/>
      <c r="B59" s="1145"/>
      <c r="C59" s="1145"/>
      <c r="D59" s="1145"/>
      <c r="E59" s="1145"/>
      <c r="F59" s="1145"/>
      <c r="G59" s="1145"/>
      <c r="H59" s="1145"/>
      <c r="I59" s="1145"/>
      <c r="J59" s="3462" t="s">
        <v>1581</v>
      </c>
      <c r="K59" s="2531"/>
      <c r="L59" s="2531"/>
      <c r="M59" s="2531"/>
      <c r="N59" s="1470" t="str">
        <f>B95</f>
        <v>B95</v>
      </c>
      <c r="O59" s="1146"/>
      <c r="P59" s="1145"/>
      <c r="Q59" s="52"/>
      <c r="W59" s="52"/>
      <c r="X59" s="52"/>
      <c r="Y59" s="52"/>
      <c r="Z59" s="52"/>
      <c r="AA59" s="52"/>
      <c r="AB59" s="52"/>
      <c r="AC59" s="52"/>
      <c r="AE59" s="52"/>
      <c r="AF59" s="52"/>
      <c r="AG59" s="52"/>
      <c r="AH59" s="52"/>
      <c r="AI59" s="52"/>
      <c r="AJ59" s="52"/>
      <c r="AK59" s="52"/>
      <c r="AL59" s="52"/>
      <c r="AM59" s="52"/>
      <c r="AN59" s="52"/>
      <c r="AO59" s="52"/>
      <c r="AP59" s="52"/>
      <c r="AQ59" s="52"/>
      <c r="AR59" s="52"/>
      <c r="AS59" s="52"/>
    </row>
    <row r="60" spans="1:45" ht="18.95" customHeight="1">
      <c r="A60" s="1144"/>
      <c r="B60" s="1145"/>
      <c r="C60" s="1145"/>
      <c r="D60" s="1145"/>
      <c r="E60" s="1145"/>
      <c r="F60" s="1145"/>
      <c r="G60" s="1145"/>
      <c r="H60" s="1145"/>
      <c r="I60" s="1145"/>
      <c r="J60" s="2372" t="s">
        <v>754</v>
      </c>
      <c r="K60" s="2373"/>
      <c r="L60" s="2373"/>
      <c r="M60" s="2373"/>
      <c r="N60" s="2374"/>
      <c r="O60" s="1146"/>
      <c r="P60" s="1145"/>
      <c r="Q60" s="52"/>
      <c r="W60" s="52"/>
      <c r="X60" s="52"/>
      <c r="Y60" s="52"/>
      <c r="Z60" s="52"/>
      <c r="AA60" s="52"/>
      <c r="AB60" s="52"/>
      <c r="AC60" s="52"/>
      <c r="AE60" s="52"/>
      <c r="AF60" s="52"/>
      <c r="AG60" s="52"/>
      <c r="AH60" s="52"/>
      <c r="AI60" s="52"/>
      <c r="AJ60" s="52"/>
      <c r="AK60" s="52"/>
      <c r="AL60" s="52"/>
      <c r="AM60" s="52"/>
      <c r="AN60" s="52"/>
      <c r="AO60" s="52"/>
      <c r="AP60" s="52"/>
      <c r="AQ60" s="52"/>
      <c r="AR60" s="52"/>
      <c r="AS60" s="52"/>
    </row>
    <row r="61" spans="1:45" ht="18.95" customHeight="1">
      <c r="A61" s="1144"/>
      <c r="B61" s="1145"/>
      <c r="C61" s="1145"/>
      <c r="D61" s="1145"/>
      <c r="E61" s="1145"/>
      <c r="F61" s="1145"/>
      <c r="G61" s="1145"/>
      <c r="H61" s="1145"/>
      <c r="I61" s="1145"/>
      <c r="J61" s="2372"/>
      <c r="K61" s="2373"/>
      <c r="L61" s="2373"/>
      <c r="M61" s="2373"/>
      <c r="N61" s="2374"/>
      <c r="O61" s="1146"/>
      <c r="P61" s="1145"/>
      <c r="Q61" s="52"/>
      <c r="W61" s="52"/>
      <c r="X61" s="52"/>
      <c r="Y61" s="52"/>
      <c r="Z61" s="52"/>
      <c r="AA61" s="52"/>
      <c r="AB61" s="52"/>
      <c r="AC61" s="52"/>
      <c r="AE61" s="52"/>
      <c r="AF61" s="52"/>
      <c r="AG61" s="52"/>
      <c r="AH61" s="52"/>
      <c r="AI61" s="52"/>
      <c r="AJ61" s="52"/>
      <c r="AK61" s="52"/>
      <c r="AL61" s="52"/>
      <c r="AM61" s="52"/>
      <c r="AN61" s="52"/>
      <c r="AO61" s="52"/>
      <c r="AP61" s="52"/>
      <c r="AQ61" s="52"/>
      <c r="AR61" s="52"/>
      <c r="AS61" s="52"/>
    </row>
    <row r="62" spans="1:45" ht="18.95" customHeight="1">
      <c r="A62" s="1144"/>
      <c r="B62" s="1145"/>
      <c r="C62" s="1145"/>
      <c r="D62" s="1145"/>
      <c r="E62" s="1145"/>
      <c r="F62" s="1145"/>
      <c r="G62" s="1145"/>
      <c r="H62" s="1145"/>
      <c r="I62" s="1145"/>
      <c r="J62" s="2375" t="s">
        <v>756</v>
      </c>
      <c r="K62" s="2376"/>
      <c r="L62" s="2376"/>
      <c r="M62" s="2376"/>
      <c r="N62" s="2377"/>
      <c r="O62" s="1146"/>
      <c r="P62" s="1145"/>
      <c r="Q62" s="52"/>
      <c r="W62" s="52"/>
      <c r="X62" s="52"/>
      <c r="Y62" s="52"/>
      <c r="Z62" s="52"/>
      <c r="AA62" s="52"/>
      <c r="AB62" s="52"/>
      <c r="AC62" s="52"/>
      <c r="AE62" s="52"/>
      <c r="AF62" s="52"/>
      <c r="AG62" s="52"/>
      <c r="AH62" s="52"/>
      <c r="AI62" s="52"/>
      <c r="AJ62" s="52"/>
      <c r="AK62" s="52"/>
      <c r="AL62" s="52"/>
      <c r="AM62" s="52"/>
      <c r="AN62" s="52"/>
      <c r="AO62" s="52"/>
      <c r="AP62" s="52"/>
      <c r="AQ62" s="52"/>
      <c r="AR62" s="52"/>
      <c r="AS62" s="52"/>
    </row>
    <row r="63" spans="1:45" ht="18.95" customHeight="1" thickBot="1">
      <c r="A63" s="1144"/>
      <c r="B63" s="1145"/>
      <c r="C63" s="1145"/>
      <c r="D63" s="1145"/>
      <c r="E63" s="1145"/>
      <c r="F63" s="1145"/>
      <c r="G63" s="1145"/>
      <c r="H63" s="1145"/>
      <c r="I63" s="1145"/>
      <c r="J63" s="1123"/>
      <c r="K63" s="2365" t="s">
        <v>757</v>
      </c>
      <c r="L63" s="2365"/>
      <c r="M63" s="1124" t="str">
        <f>LEFT(ADDRESS(1,COLUMN(AU76),4),LEN(ADDRESS(1,COLUMN(AU76),4))-1)</f>
        <v>AU</v>
      </c>
      <c r="N63" s="1125"/>
      <c r="O63" s="1146"/>
      <c r="P63" s="1145"/>
      <c r="Q63" s="52"/>
      <c r="W63" s="52"/>
      <c r="X63" s="52"/>
      <c r="Y63" s="52"/>
      <c r="Z63" s="52"/>
      <c r="AA63" s="52"/>
      <c r="AB63" s="52"/>
      <c r="AC63" s="52"/>
      <c r="AE63" s="52"/>
      <c r="AF63" s="52"/>
      <c r="AG63" s="52"/>
      <c r="AH63" s="52"/>
      <c r="AI63" s="52"/>
      <c r="AJ63" s="52"/>
      <c r="AK63" s="52"/>
      <c r="AL63" s="52"/>
      <c r="AM63" s="52"/>
      <c r="AN63" s="52"/>
      <c r="AO63" s="52"/>
      <c r="AP63" s="52"/>
      <c r="AQ63" s="52"/>
      <c r="AR63" s="52"/>
      <c r="AS63" s="52"/>
    </row>
    <row r="64" spans="1:45" ht="18.95" customHeight="1">
      <c r="A64" s="1144"/>
      <c r="B64" s="1145"/>
      <c r="C64" s="1145"/>
      <c r="D64" s="1145"/>
      <c r="E64" s="1145"/>
      <c r="F64" s="1145"/>
      <c r="G64" s="1783">
        <v>6</v>
      </c>
      <c r="H64" s="1145"/>
      <c r="I64" s="1145"/>
      <c r="J64" s="2366" t="s">
        <v>151</v>
      </c>
      <c r="K64" s="2367"/>
      <c r="L64" s="2367"/>
      <c r="M64" s="2367"/>
      <c r="N64" s="2368"/>
      <c r="O64" s="1146"/>
      <c r="P64" s="1145"/>
      <c r="Q64" s="52"/>
      <c r="W64" s="52"/>
      <c r="X64" s="52"/>
      <c r="Y64" s="52"/>
      <c r="Z64" s="52"/>
      <c r="AA64" s="52"/>
      <c r="AB64" s="52"/>
      <c r="AC64" s="52"/>
      <c r="AE64" s="52"/>
      <c r="AF64" s="52"/>
      <c r="AG64" s="52"/>
      <c r="AH64" s="52"/>
      <c r="AI64" s="52"/>
      <c r="AJ64" s="52"/>
      <c r="AK64" s="52"/>
      <c r="AL64" s="52"/>
      <c r="AM64" s="52"/>
      <c r="AN64" s="52"/>
      <c r="AO64" s="52"/>
      <c r="AP64" s="52"/>
      <c r="AQ64" s="52"/>
      <c r="AR64" s="52"/>
      <c r="AS64" s="52"/>
    </row>
    <row r="65" spans="1:45" ht="18.95" customHeight="1">
      <c r="A65" s="1144"/>
      <c r="B65" s="1145"/>
      <c r="C65" s="1145"/>
      <c r="D65" s="1145"/>
      <c r="E65" s="1145"/>
      <c r="F65" s="1145"/>
      <c r="G65" s="1145"/>
      <c r="H65" s="1145"/>
      <c r="I65" s="1145"/>
      <c r="J65" s="2369"/>
      <c r="K65" s="2370"/>
      <c r="L65" s="2370"/>
      <c r="M65" s="2370"/>
      <c r="N65" s="2371"/>
      <c r="O65" s="1146"/>
      <c r="P65" s="1145"/>
      <c r="Q65" s="52"/>
      <c r="W65" s="52"/>
      <c r="X65" s="52"/>
      <c r="Y65" s="52"/>
      <c r="Z65" s="52"/>
      <c r="AA65" s="52"/>
      <c r="AB65" s="52"/>
      <c r="AC65" s="52"/>
      <c r="AE65" s="52"/>
      <c r="AF65" s="52"/>
      <c r="AG65" s="52"/>
      <c r="AH65" s="52"/>
      <c r="AI65" s="52"/>
      <c r="AJ65" s="52"/>
      <c r="AK65" s="52"/>
      <c r="AL65" s="52"/>
      <c r="AM65" s="52"/>
      <c r="AN65" s="52"/>
      <c r="AO65" s="52"/>
      <c r="AP65" s="52"/>
      <c r="AQ65" s="52"/>
      <c r="AR65" s="52"/>
      <c r="AS65" s="52"/>
    </row>
    <row r="66" spans="1:45" ht="18.95" customHeight="1">
      <c r="A66" s="1144"/>
      <c r="B66" s="1145"/>
      <c r="C66" s="1145"/>
      <c r="D66" s="1145"/>
      <c r="E66" s="1145"/>
      <c r="F66" s="1145"/>
      <c r="G66" s="1145"/>
      <c r="H66" s="1145"/>
      <c r="I66" s="1145"/>
      <c r="J66" s="2369"/>
      <c r="K66" s="2370"/>
      <c r="L66" s="2370"/>
      <c r="M66" s="2370"/>
      <c r="N66" s="2371"/>
      <c r="O66" s="1146"/>
      <c r="P66" s="1145"/>
      <c r="Q66" s="52"/>
      <c r="W66" s="52"/>
      <c r="X66" s="52"/>
      <c r="Y66" s="52"/>
      <c r="Z66" s="52"/>
      <c r="AA66" s="52"/>
      <c r="AB66" s="52"/>
      <c r="AC66" s="52"/>
      <c r="AE66" s="52"/>
      <c r="AF66" s="52"/>
      <c r="AG66" s="52"/>
      <c r="AH66" s="52"/>
      <c r="AI66" s="52"/>
      <c r="AJ66" s="52"/>
      <c r="AK66" s="52"/>
      <c r="AL66" s="52"/>
      <c r="AM66" s="52"/>
      <c r="AN66" s="52"/>
      <c r="AO66" s="52"/>
      <c r="AP66" s="52"/>
      <c r="AQ66" s="52"/>
      <c r="AR66" s="52"/>
      <c r="AS66" s="52"/>
    </row>
    <row r="67" spans="1:45" ht="18.95" customHeight="1" thickBot="1">
      <c r="A67" s="1144"/>
      <c r="B67" s="1145"/>
      <c r="C67" s="1145"/>
      <c r="D67" s="1145"/>
      <c r="E67" s="1145"/>
      <c r="F67" s="1145"/>
      <c r="G67" s="1145"/>
      <c r="H67" s="1145"/>
      <c r="I67" s="1145"/>
      <c r="J67" s="1138"/>
      <c r="K67" s="1139"/>
      <c r="L67" s="1139"/>
      <c r="M67" s="1139"/>
      <c r="N67" s="1140"/>
      <c r="O67" s="1146"/>
      <c r="P67" s="1145"/>
      <c r="Q67" s="52"/>
      <c r="W67" s="52"/>
      <c r="X67" s="52"/>
      <c r="Y67" s="52"/>
      <c r="Z67" s="52"/>
      <c r="AA67" s="52"/>
      <c r="AB67" s="52"/>
      <c r="AC67" s="52"/>
      <c r="AE67" s="52"/>
      <c r="AF67" s="52"/>
      <c r="AG67" s="52"/>
      <c r="AH67" s="52"/>
      <c r="AI67" s="52"/>
      <c r="AJ67" s="52"/>
      <c r="AK67" s="52"/>
      <c r="AL67" s="52"/>
      <c r="AM67" s="52"/>
      <c r="AN67" s="52"/>
      <c r="AO67" s="52"/>
      <c r="AP67" s="52"/>
      <c r="AQ67" s="52"/>
      <c r="AR67" s="52"/>
      <c r="AS67" s="52"/>
    </row>
    <row r="68" spans="1:45" ht="18.95" customHeight="1">
      <c r="A68" s="1144"/>
      <c r="B68" s="1145"/>
      <c r="C68" s="1145"/>
      <c r="D68" s="1145"/>
      <c r="E68" s="1145"/>
      <c r="F68" s="1145"/>
      <c r="G68" s="1145"/>
      <c r="H68" s="1145"/>
      <c r="I68" s="1145"/>
      <c r="O68" s="1146"/>
      <c r="P68" s="1145"/>
      <c r="Q68" s="52"/>
      <c r="W68" s="52"/>
      <c r="X68" s="52"/>
      <c r="Y68" s="52"/>
      <c r="Z68" s="52"/>
      <c r="AA68" s="52"/>
      <c r="AB68" s="52"/>
      <c r="AC68" s="52"/>
      <c r="AE68" s="52"/>
      <c r="AF68" s="52"/>
      <c r="AG68" s="52"/>
      <c r="AH68" s="52"/>
      <c r="AI68" s="52"/>
      <c r="AJ68" s="52"/>
      <c r="AK68" s="52"/>
      <c r="AL68" s="52"/>
      <c r="AM68" s="52"/>
      <c r="AN68" s="52"/>
      <c r="AO68" s="52"/>
      <c r="AP68" s="52"/>
      <c r="AQ68" s="52"/>
      <c r="AR68" s="52"/>
      <c r="AS68" s="52"/>
    </row>
    <row r="69" spans="1:45" ht="18.95" customHeight="1">
      <c r="A69" s="1144"/>
      <c r="B69" s="1145"/>
      <c r="C69" s="1145"/>
      <c r="D69" s="1145"/>
      <c r="E69" s="1145"/>
      <c r="F69" s="1145"/>
      <c r="G69" s="1145"/>
      <c r="H69" s="1145"/>
      <c r="I69" s="1145"/>
      <c r="J69" s="52"/>
      <c r="K69" s="52"/>
      <c r="L69" s="52"/>
      <c r="M69" s="52"/>
      <c r="N69" s="52"/>
      <c r="O69" s="1146"/>
      <c r="P69" s="1145"/>
      <c r="Q69" s="52"/>
      <c r="R69" s="52"/>
      <c r="S69" s="52"/>
      <c r="T69" s="52"/>
      <c r="U69" s="52"/>
      <c r="V69" s="52"/>
      <c r="W69" s="52"/>
      <c r="X69" s="52"/>
      <c r="Y69" s="52"/>
      <c r="Z69" s="52"/>
      <c r="AA69" s="52"/>
      <c r="AB69" s="52"/>
      <c r="AC69" s="52"/>
      <c r="AE69" s="52"/>
      <c r="AF69" s="52"/>
      <c r="AG69" s="52"/>
      <c r="AH69" s="52"/>
      <c r="AI69" s="52"/>
      <c r="AJ69" s="52"/>
      <c r="AK69" s="52"/>
      <c r="AL69" s="52"/>
      <c r="AM69" s="52"/>
      <c r="AN69" s="52"/>
      <c r="AO69" s="52"/>
      <c r="AP69" s="52"/>
      <c r="AQ69" s="52"/>
      <c r="AR69" s="52"/>
      <c r="AS69" s="52"/>
    </row>
    <row r="70" spans="1:45" ht="83.25" customHeight="1">
      <c r="B70" s="3463" t="s">
        <v>1607</v>
      </c>
      <c r="C70" s="3464"/>
      <c r="D70" s="3464"/>
      <c r="E70" s="3464"/>
      <c r="F70" s="3464"/>
      <c r="G70" s="3464"/>
      <c r="H70" s="3464"/>
      <c r="I70" s="3464"/>
      <c r="J70" s="3464"/>
      <c r="K70" s="3464"/>
      <c r="L70" s="3464"/>
      <c r="M70" s="3464"/>
      <c r="N70" s="3464"/>
      <c r="O70" s="3464"/>
      <c r="Q70" s="1027"/>
      <c r="R70" s="1027"/>
      <c r="S70" s="1027"/>
      <c r="T70" s="1027"/>
      <c r="U70" s="1027"/>
      <c r="V70" s="1027"/>
      <c r="W70" s="1027"/>
      <c r="X70" s="1027"/>
      <c r="Y70" s="1027"/>
      <c r="Z70" s="1027"/>
      <c r="AA70" s="1027"/>
      <c r="AB70" s="1027"/>
      <c r="AC70" s="1027"/>
      <c r="AD70" s="1027"/>
      <c r="AE70" s="1027"/>
      <c r="AF70" s="1027"/>
      <c r="AG70" s="1027"/>
      <c r="AH70" s="1027"/>
      <c r="AI70" s="1027"/>
      <c r="AJ70" s="1027"/>
      <c r="AK70" s="1027"/>
      <c r="AL70" s="1027"/>
      <c r="AM70" s="1027"/>
      <c r="AN70" s="1027"/>
      <c r="AO70" s="1027"/>
      <c r="AP70" s="1027"/>
      <c r="AQ70" s="1027"/>
      <c r="AR70" s="1027"/>
      <c r="AS70" s="1027"/>
    </row>
    <row r="71" spans="1:45" ht="18.95" customHeight="1">
      <c r="A71" s="55"/>
      <c r="B71" s="52"/>
      <c r="C71" s="52"/>
      <c r="D71" s="52"/>
      <c r="E71" s="52"/>
      <c r="F71" s="52"/>
      <c r="G71" s="52"/>
      <c r="H71" s="52"/>
      <c r="I71" s="52"/>
      <c r="J71" s="52"/>
      <c r="K71" s="52"/>
      <c r="L71" s="52"/>
      <c r="M71" s="52"/>
      <c r="N71" s="52"/>
      <c r="O71" s="54"/>
      <c r="Q71" s="52"/>
      <c r="R71" s="52"/>
      <c r="S71" s="52"/>
      <c r="T71" s="52"/>
      <c r="U71" s="52"/>
      <c r="V71" s="52"/>
      <c r="W71" s="52"/>
      <c r="X71" s="52"/>
      <c r="Y71" s="52"/>
      <c r="Z71" s="52"/>
      <c r="AA71" s="52"/>
      <c r="AB71" s="52"/>
      <c r="AC71" s="52"/>
      <c r="AE71" s="52"/>
      <c r="AF71" s="52"/>
      <c r="AG71" s="52"/>
      <c r="AH71" s="52"/>
      <c r="AI71" s="52"/>
      <c r="AJ71" s="52"/>
      <c r="AK71" s="52"/>
      <c r="AL71" s="52"/>
      <c r="AM71" s="52"/>
      <c r="AN71" s="52"/>
      <c r="AO71" s="52"/>
      <c r="AP71" s="52"/>
      <c r="AQ71" s="52"/>
      <c r="AR71" s="52"/>
      <c r="AS71" s="52"/>
    </row>
    <row r="72" spans="1:45" ht="18.95" customHeight="1">
      <c r="A72" s="55"/>
      <c r="B72" s="3454" t="s">
        <v>738</v>
      </c>
      <c r="C72" s="3454"/>
      <c r="D72" s="3454"/>
      <c r="E72" s="3454"/>
      <c r="F72" s="3454"/>
      <c r="G72" s="3454"/>
      <c r="H72" s="3454"/>
      <c r="I72" s="52"/>
      <c r="J72" s="3454" t="s">
        <v>739</v>
      </c>
      <c r="K72" s="3454"/>
      <c r="L72" s="3454"/>
      <c r="M72" s="3454"/>
      <c r="N72" s="3454"/>
      <c r="O72" s="3454"/>
      <c r="Q72" s="1026"/>
      <c r="R72" s="1026"/>
      <c r="S72" s="1026"/>
      <c r="T72" s="1026"/>
      <c r="U72" s="1026"/>
      <c r="V72" s="1026"/>
      <c r="W72" s="1026"/>
      <c r="X72" s="1026"/>
      <c r="Y72" s="1026"/>
      <c r="Z72" s="1026"/>
      <c r="AA72" s="1026"/>
      <c r="AB72" s="1026"/>
      <c r="AC72" s="1026"/>
      <c r="AE72" s="1026"/>
      <c r="AF72" s="1026"/>
      <c r="AG72" s="1026"/>
      <c r="AH72" s="1026"/>
      <c r="AI72" s="1026"/>
      <c r="AJ72" s="1026"/>
      <c r="AK72" s="1026"/>
      <c r="AL72" s="1026"/>
      <c r="AM72" s="1026"/>
      <c r="AN72" s="1026"/>
      <c r="AO72" s="1026"/>
      <c r="AP72" s="1026"/>
      <c r="AQ72" s="1026"/>
      <c r="AR72" s="1026"/>
      <c r="AS72" s="1026"/>
    </row>
    <row r="73" spans="1:45" ht="18.95" customHeight="1">
      <c r="A73" s="55"/>
      <c r="B73" s="3454"/>
      <c r="C73" s="3454"/>
      <c r="D73" s="3454"/>
      <c r="E73" s="3454"/>
      <c r="F73" s="3454"/>
      <c r="G73" s="3454"/>
      <c r="H73" s="3454"/>
      <c r="I73" s="52"/>
      <c r="J73" s="3454"/>
      <c r="K73" s="3454"/>
      <c r="L73" s="3454"/>
      <c r="M73" s="3454"/>
      <c r="N73" s="3454"/>
      <c r="O73" s="3454"/>
      <c r="Q73" s="1026"/>
      <c r="R73" s="1026"/>
      <c r="S73" s="1026"/>
      <c r="T73" s="1026"/>
      <c r="U73" s="1026"/>
      <c r="V73" s="1026"/>
      <c r="W73" s="1026"/>
      <c r="X73" s="1026"/>
      <c r="Y73" s="1026"/>
      <c r="Z73" s="1026"/>
      <c r="AA73" s="1026"/>
      <c r="AB73" s="1026"/>
      <c r="AC73" s="1026"/>
      <c r="AE73" s="1026"/>
      <c r="AF73" s="1026"/>
      <c r="AG73" s="1026"/>
      <c r="AH73" s="1026"/>
      <c r="AI73" s="1026"/>
      <c r="AJ73" s="1026"/>
      <c r="AK73" s="1026"/>
      <c r="AL73" s="1026"/>
      <c r="AM73" s="1026"/>
      <c r="AN73" s="1026"/>
      <c r="AO73" s="1026"/>
      <c r="AP73" s="1026"/>
      <c r="AQ73" s="1026"/>
      <c r="AR73" s="1026"/>
      <c r="AS73" s="1026"/>
    </row>
    <row r="74" spans="1:45" ht="18.95" customHeight="1">
      <c r="A74" s="55"/>
      <c r="B74" s="3454"/>
      <c r="C74" s="3454"/>
      <c r="D74" s="3454"/>
      <c r="E74" s="3454"/>
      <c r="F74" s="3454"/>
      <c r="G74" s="3454"/>
      <c r="H74" s="3454"/>
      <c r="I74" s="52"/>
      <c r="J74" s="3454"/>
      <c r="K74" s="3454"/>
      <c r="L74" s="3454"/>
      <c r="M74" s="3454"/>
      <c r="N74" s="3454"/>
      <c r="O74" s="3454"/>
      <c r="Q74" s="1026"/>
      <c r="R74" s="1026"/>
      <c r="S74" s="1026"/>
      <c r="T74" s="1026"/>
      <c r="U74" s="1026"/>
      <c r="V74" s="1026"/>
      <c r="W74" s="1026"/>
      <c r="X74" s="1026"/>
      <c r="Y74" s="1026"/>
      <c r="Z74" s="1026"/>
      <c r="AA74" s="1026"/>
      <c r="AB74" s="1026"/>
      <c r="AC74" s="1026"/>
      <c r="AE74" s="1026"/>
      <c r="AF74" s="1026"/>
      <c r="AG74" s="1026"/>
      <c r="AH74" s="1026"/>
      <c r="AI74" s="1026"/>
      <c r="AJ74" s="1026"/>
      <c r="AK74" s="1026"/>
      <c r="AL74" s="1026"/>
      <c r="AM74" s="1026"/>
      <c r="AN74" s="1026"/>
      <c r="AO74" s="1026"/>
      <c r="AP74" s="1026"/>
      <c r="AQ74" s="1026"/>
      <c r="AR74" s="1026"/>
      <c r="AS74" s="1026"/>
    </row>
    <row r="75" spans="1:45" ht="26.25" customHeight="1" thickBot="1">
      <c r="Q75" s="54"/>
      <c r="R75" s="54"/>
    </row>
    <row r="76" spans="1:45" ht="26.25" customHeight="1" thickBot="1">
      <c r="A76" s="50" t="s">
        <v>76</v>
      </c>
      <c r="B76" s="3455" t="s">
        <v>677</v>
      </c>
      <c r="C76" s="3456"/>
      <c r="D76" s="3456"/>
      <c r="E76" s="3456"/>
      <c r="F76" s="3456"/>
      <c r="G76" s="3456"/>
      <c r="H76" s="3456"/>
      <c r="I76" s="3456"/>
      <c r="J76" s="3456"/>
      <c r="K76" s="3456"/>
      <c r="L76" s="3456"/>
      <c r="M76" s="3456"/>
      <c r="N76" s="3456"/>
      <c r="O76" s="3457"/>
      <c r="Q76" s="2480" t="s">
        <v>77</v>
      </c>
      <c r="R76" s="2481"/>
      <c r="S76" s="2481"/>
      <c r="T76" s="2481"/>
      <c r="U76" s="2481"/>
      <c r="V76" s="2452" t="s">
        <v>2028</v>
      </c>
      <c r="W76" s="2452"/>
      <c r="X76" s="2452"/>
      <c r="Y76" s="2452"/>
      <c r="Z76" s="2452"/>
      <c r="AA76" s="2452"/>
      <c r="AB76" s="2452"/>
      <c r="AC76" s="2482"/>
      <c r="AD76" s="1357" t="s">
        <v>1487</v>
      </c>
      <c r="AE76" s="1115"/>
      <c r="AF76" s="729"/>
      <c r="AG76" s="729"/>
      <c r="AH76" s="729"/>
      <c r="AI76" s="729"/>
      <c r="AJ76" s="729"/>
      <c r="AK76" s="729"/>
      <c r="AL76" s="729"/>
      <c r="AM76" s="729"/>
      <c r="AN76" s="729"/>
      <c r="AO76" s="729"/>
      <c r="AP76" s="729"/>
      <c r="AQ76" s="729"/>
      <c r="AR76" s="729"/>
      <c r="AS76" s="729"/>
    </row>
    <row r="77" spans="1:45" ht="28.5" customHeight="1">
      <c r="A77" s="49" t="s">
        <v>819</v>
      </c>
      <c r="B77" s="3458" t="s">
        <v>678</v>
      </c>
      <c r="C77" s="3459"/>
      <c r="D77" s="3459"/>
      <c r="E77" s="3459"/>
      <c r="F77" s="3459"/>
      <c r="G77" s="3459"/>
      <c r="H77" s="654" t="str">
        <f>U77</f>
        <v>N°1</v>
      </c>
      <c r="I77" s="49" t="s">
        <v>742</v>
      </c>
      <c r="J77" s="3460" t="s">
        <v>679</v>
      </c>
      <c r="K77" s="3461"/>
      <c r="L77" s="3461"/>
      <c r="M77" s="3461"/>
      <c r="N77" s="654" t="str">
        <f>U77</f>
        <v>N°1</v>
      </c>
      <c r="O77" s="1087" t="s">
        <v>820</v>
      </c>
      <c r="Q77" s="1582" t="s">
        <v>75</v>
      </c>
      <c r="R77" s="2487" t="s">
        <v>670</v>
      </c>
      <c r="S77" s="2487"/>
      <c r="T77" s="2487"/>
      <c r="U77" s="1797" t="s">
        <v>74</v>
      </c>
      <c r="V77" s="784"/>
      <c r="W77" s="784"/>
      <c r="X77" s="784"/>
      <c r="Y77" s="1798" t="s">
        <v>2029</v>
      </c>
      <c r="Z77" s="1471" t="str">
        <f>LEFT(ADDRESS(1,COLUMN(),4),LEN(ADDRESS(1,COLUMN(),4))-1)</f>
        <v>Z</v>
      </c>
      <c r="AA77" s="784"/>
      <c r="AB77" s="784"/>
      <c r="AC77" s="1114"/>
      <c r="AE77" s="2451" t="s">
        <v>735</v>
      </c>
      <c r="AF77" s="2452"/>
      <c r="AG77" s="2452"/>
      <c r="AH77" s="2452"/>
      <c r="AI77" s="2452"/>
      <c r="AJ77" s="2452"/>
      <c r="AK77" s="2452"/>
      <c r="AL77" s="2452"/>
      <c r="AM77" s="2452"/>
      <c r="AN77" s="2452"/>
      <c r="AO77" s="2452"/>
      <c r="AP77" s="2452"/>
      <c r="AQ77" s="2452"/>
      <c r="AR77" s="2452"/>
      <c r="AS77" s="2452"/>
    </row>
    <row r="78" spans="1:45" ht="18" customHeight="1">
      <c r="A78" s="2454"/>
      <c r="B78" s="1575" t="s">
        <v>73</v>
      </c>
      <c r="C78" s="673" t="str">
        <f>R78</f>
        <v>? Albert A VOUS DE SAISIR LE NOM DE L'AUTEUR ICI</v>
      </c>
      <c r="D78" s="47"/>
      <c r="E78" s="47"/>
      <c r="F78" s="47"/>
      <c r="G78" s="47"/>
      <c r="H78" s="47"/>
      <c r="I78" s="3465"/>
      <c r="J78" s="44" t="s">
        <v>73</v>
      </c>
      <c r="K78" s="673" t="str">
        <f>R78</f>
        <v>? Albert A VOUS DE SAISIR LE NOM DE L'AUTEUR ICI</v>
      </c>
      <c r="L78" s="47"/>
      <c r="M78" s="47"/>
      <c r="N78" s="47"/>
      <c r="O78" s="1799"/>
      <c r="Q78" s="1584" t="s">
        <v>72</v>
      </c>
      <c r="R78" s="2456" t="s">
        <v>669</v>
      </c>
      <c r="S78" s="2456"/>
      <c r="T78" s="2456"/>
      <c r="U78" s="3466"/>
      <c r="V78" s="2458" t="s">
        <v>736</v>
      </c>
      <c r="W78" s="2459"/>
      <c r="X78" s="2459"/>
      <c r="Y78" s="2459"/>
      <c r="Z78" s="2459"/>
      <c r="AA78" s="2459"/>
      <c r="AB78" s="2459"/>
      <c r="AC78" s="2460"/>
      <c r="AE78" s="2461" t="s">
        <v>736</v>
      </c>
      <c r="AF78" s="2462"/>
      <c r="AG78" s="2462"/>
      <c r="AH78" s="2462"/>
      <c r="AI78" s="2462"/>
      <c r="AJ78" s="2462"/>
      <c r="AK78" s="2462"/>
      <c r="AL78" s="2462"/>
      <c r="AM78" s="2462"/>
      <c r="AN78" s="2462"/>
      <c r="AO78" s="2462"/>
      <c r="AP78" s="2462"/>
      <c r="AQ78" s="2462"/>
      <c r="AR78" s="2462"/>
      <c r="AS78" s="2462"/>
    </row>
    <row r="79" spans="1:45" ht="18" customHeight="1">
      <c r="A79" s="2454"/>
      <c r="B79" s="1575" t="str">
        <f>Q79</f>
        <v>❸ Constituant de quelle recette ?</v>
      </c>
      <c r="C79" s="46"/>
      <c r="D79" s="46"/>
      <c r="E79" s="46"/>
      <c r="F79" s="46"/>
      <c r="G79" s="3467" t="str">
        <f>T79</f>
        <v>? une pâtisserie est souvent composée de recettes filles  attachées à une recette Mère</v>
      </c>
      <c r="H79" s="3468"/>
      <c r="I79" s="3465"/>
      <c r="J79" s="44" t="str">
        <f>Q79</f>
        <v>❸ Constituant de quelle recette ?</v>
      </c>
      <c r="K79" s="44"/>
      <c r="L79" s="44"/>
      <c r="M79" s="3468" t="str">
        <f>T79</f>
        <v>? une pâtisserie est souvent composée de recettes filles  attachées à une recette Mère</v>
      </c>
      <c r="N79" s="3468"/>
      <c r="O79" s="1799"/>
      <c r="Q79" s="1585" t="s">
        <v>71</v>
      </c>
      <c r="R79" s="342"/>
      <c r="S79" s="342"/>
      <c r="T79" s="2464" t="s">
        <v>684</v>
      </c>
      <c r="U79" s="3469"/>
      <c r="V79" s="2458"/>
      <c r="W79" s="2459"/>
      <c r="X79" s="2459"/>
      <c r="Y79" s="2459"/>
      <c r="Z79" s="2459"/>
      <c r="AA79" s="2459"/>
      <c r="AB79" s="2459"/>
      <c r="AC79" s="2460"/>
      <c r="AE79" s="2461"/>
      <c r="AF79" s="2462"/>
      <c r="AG79" s="2462"/>
      <c r="AH79" s="2462"/>
      <c r="AI79" s="2462"/>
      <c r="AJ79" s="2462"/>
      <c r="AK79" s="2462"/>
      <c r="AL79" s="2462"/>
      <c r="AM79" s="2462"/>
      <c r="AN79" s="2462"/>
      <c r="AO79" s="2462"/>
      <c r="AP79" s="2462"/>
      <c r="AQ79" s="2462"/>
      <c r="AR79" s="2462"/>
      <c r="AS79" s="2462"/>
    </row>
    <row r="80" spans="1:45" ht="18" customHeight="1">
      <c r="A80" s="2454"/>
      <c r="B80" s="3470" t="s">
        <v>1566</v>
      </c>
      <c r="C80" s="3471"/>
      <c r="D80" s="3474">
        <f>H85/1000</f>
        <v>1.75</v>
      </c>
      <c r="E80" s="676"/>
      <c r="F80" s="677" t="str">
        <f>IF(D82=1,"",Z80)</f>
        <v>Vous avez saisi des pourcentages de PERTES par produit</v>
      </c>
      <c r="G80" s="676"/>
      <c r="H80" s="655"/>
      <c r="I80" s="3465"/>
      <c r="J80" s="2473">
        <v>120</v>
      </c>
      <c r="K80" s="3452" t="s">
        <v>1707</v>
      </c>
      <c r="L80" s="3452"/>
      <c r="M80" s="3453" t="s">
        <v>1708</v>
      </c>
      <c r="N80" s="2631">
        <f>H85/J80</f>
        <v>14.583333333333334</v>
      </c>
      <c r="O80" s="1799"/>
      <c r="Q80" s="1574"/>
      <c r="R80" s="42"/>
      <c r="S80" s="42"/>
      <c r="T80" s="1335"/>
      <c r="U80" s="1055"/>
      <c r="V80" s="2459" t="s">
        <v>1589</v>
      </c>
      <c r="W80" s="2459"/>
      <c r="X80" s="2460"/>
      <c r="Y80" s="2426" t="s">
        <v>817</v>
      </c>
      <c r="Z80" s="3482" t="str">
        <f>IF(Z83&gt;0,"vous avez saisi un % de perte pour TOUTE LA RECETTE",IF(Z90&gt;0,"Vous avez saisi des pourcentages de PERTES par produit","Vous pouvez saisir un % de perte pour chaque PRODUIT ou pour la recette"))</f>
        <v>Vous avez saisi des pourcentages de PERTES par produit</v>
      </c>
      <c r="AA80" s="3482"/>
      <c r="AB80" s="3482"/>
      <c r="AC80" s="3483"/>
      <c r="AE80" s="1334"/>
      <c r="AF80" s="1477"/>
      <c r="AG80" s="1477"/>
      <c r="AH80" s="346"/>
      <c r="AI80" s="346"/>
      <c r="AJ80" s="346"/>
      <c r="AK80" s="346"/>
      <c r="AL80" s="346"/>
      <c r="AM80" s="346"/>
      <c r="AN80" s="346"/>
      <c r="AO80" s="600"/>
      <c r="AP80" s="600"/>
      <c r="AQ80" s="600"/>
      <c r="AR80" s="600"/>
      <c r="AS80" s="600"/>
    </row>
    <row r="81" spans="1:45" ht="18" customHeight="1">
      <c r="A81" s="2454"/>
      <c r="B81" s="1061">
        <f>D80*1000</f>
        <v>1750</v>
      </c>
      <c r="C81" s="1120" t="s">
        <v>1600</v>
      </c>
      <c r="D81" s="3474"/>
      <c r="E81" s="676"/>
      <c r="F81" s="678">
        <f>IF(D82=1,"",IF(Z83&gt;0,Z83,Z90))</f>
        <v>1</v>
      </c>
      <c r="G81" s="728" t="str">
        <f>IF(D82=1,"",IF(Z83&gt;0,Z83,""))</f>
        <v/>
      </c>
      <c r="H81" s="655"/>
      <c r="I81" s="3465"/>
      <c r="J81" s="3475"/>
      <c r="K81" s="2394"/>
      <c r="L81" s="2394"/>
      <c r="M81" s="2396"/>
      <c r="N81" s="2446"/>
      <c r="O81" s="1799"/>
      <c r="Q81" s="609" t="s">
        <v>106</v>
      </c>
      <c r="R81" s="608" t="str">
        <f>Z80</f>
        <v>Vous avez saisi des pourcentages de PERTES par produit</v>
      </c>
      <c r="S81" s="42"/>
      <c r="T81" s="1335"/>
      <c r="U81" s="1055"/>
      <c r="V81" s="2459"/>
      <c r="W81" s="2459"/>
      <c r="X81" s="2460"/>
      <c r="Y81" s="2426"/>
      <c r="Z81" s="3482"/>
      <c r="AA81" s="3482"/>
      <c r="AB81" s="3482"/>
      <c r="AC81" s="3483"/>
      <c r="AE81" s="2468" t="s">
        <v>732</v>
      </c>
      <c r="AF81" s="2469"/>
      <c r="AG81" s="2470"/>
      <c r="AH81" s="2468" t="s">
        <v>697</v>
      </c>
      <c r="AI81" s="2469"/>
      <c r="AJ81" s="2469"/>
      <c r="AK81" s="2470"/>
      <c r="AL81" s="2468" t="s">
        <v>698</v>
      </c>
      <c r="AM81" s="2469"/>
      <c r="AN81" s="2469"/>
      <c r="AO81" s="2470"/>
      <c r="AP81" s="2468" t="s">
        <v>586</v>
      </c>
      <c r="AQ81" s="2469"/>
      <c r="AR81" s="2469"/>
      <c r="AS81" s="2469"/>
    </row>
    <row r="82" spans="1:45" ht="132" customHeight="1">
      <c r="A82" s="2454"/>
      <c r="B82" s="1588"/>
      <c r="C82" s="614" t="s">
        <v>1567</v>
      </c>
      <c r="D82" s="612">
        <v>2</v>
      </c>
      <c r="E82" s="675" t="str">
        <f>IF(D82=1,AE81,IF(D82=2,AH81,IF(D82=3,AL81,IF(D82&gt;3,"LE N° DE CHOIX S'ARRETE AU N° 3"))))</f>
        <v>2 = POIDS BRUT DEMANDÉ MOINS % DE PERTE = POIDS NET</v>
      </c>
      <c r="F82" s="727"/>
      <c r="G82" s="727"/>
      <c r="H82" s="655"/>
      <c r="I82" s="3465"/>
      <c r="J82" s="1345">
        <v>4</v>
      </c>
      <c r="K82" s="1793" t="s">
        <v>1592</v>
      </c>
      <c r="L82" s="1794"/>
      <c r="M82" s="1795"/>
      <c r="N82" s="3476">
        <f>(J83*J82)/1000</f>
        <v>0.44</v>
      </c>
      <c r="O82" s="1799"/>
      <c r="Q82" s="1569"/>
      <c r="R82" s="36" t="s">
        <v>1</v>
      </c>
      <c r="S82" s="37">
        <v>2</v>
      </c>
      <c r="T82" s="36" t="s">
        <v>0</v>
      </c>
      <c r="U82" s="35">
        <v>2</v>
      </c>
      <c r="V82" s="2459"/>
      <c r="W82" s="2459"/>
      <c r="X82" s="2460"/>
      <c r="Y82" s="2426"/>
      <c r="Z82" s="3472" t="s">
        <v>1585</v>
      </c>
      <c r="AA82" s="3472"/>
      <c r="AB82" s="3472"/>
      <c r="AC82" s="3473"/>
      <c r="AE82" s="2468"/>
      <c r="AF82" s="2469"/>
      <c r="AG82" s="2470"/>
      <c r="AH82" s="2468"/>
      <c r="AI82" s="2469"/>
      <c r="AJ82" s="2469"/>
      <c r="AK82" s="2470"/>
      <c r="AL82" s="2468"/>
      <c r="AM82" s="2469"/>
      <c r="AN82" s="2469"/>
      <c r="AO82" s="2470"/>
      <c r="AP82" s="2468"/>
      <c r="AQ82" s="2469"/>
      <c r="AR82" s="2469"/>
      <c r="AS82" s="2469"/>
    </row>
    <row r="83" spans="1:45" ht="18" customHeight="1">
      <c r="A83" s="2454"/>
      <c r="B83" s="639"/>
      <c r="C83" s="639" t="str">
        <f>IF(D82=1,"CHOIX N° 1",IF(D82=2,"CHOIX N° 2",IF(D82=3,"CHOIX N° 3","QUEL CHOIX?")))</f>
        <v>CHOIX N° 2</v>
      </c>
      <c r="D83" s="637">
        <f>D91</f>
        <v>1750</v>
      </c>
      <c r="E83" s="3477" t="s">
        <v>52</v>
      </c>
      <c r="F83" s="637">
        <f>F91</f>
        <v>1712.5</v>
      </c>
      <c r="G83" s="1800" t="s">
        <v>1568</v>
      </c>
      <c r="H83" s="701"/>
      <c r="I83" s="3465"/>
      <c r="J83" s="1801">
        <v>110</v>
      </c>
      <c r="K83" s="1080" t="s">
        <v>1591</v>
      </c>
      <c r="L83" s="1081"/>
      <c r="M83" s="1121" t="s">
        <v>1599</v>
      </c>
      <c r="N83" s="2518"/>
      <c r="O83" s="1799"/>
      <c r="Q83" s="1565" t="s">
        <v>1562</v>
      </c>
      <c r="R83" s="30"/>
      <c r="S83" s="30"/>
      <c r="T83" s="1075" t="s">
        <v>67</v>
      </c>
      <c r="U83" s="783">
        <f>U90</f>
        <v>1750</v>
      </c>
      <c r="V83" s="2449">
        <v>1000</v>
      </c>
      <c r="W83" s="2449"/>
      <c r="X83" s="2450"/>
      <c r="Y83" s="2426"/>
      <c r="Z83" s="629"/>
      <c r="AA83" s="1350" t="s">
        <v>1564</v>
      </c>
      <c r="AB83" s="1350"/>
      <c r="AC83" s="1351"/>
      <c r="AE83" s="601"/>
      <c r="AF83" s="603" t="s">
        <v>578</v>
      </c>
      <c r="AG83" s="593">
        <f>B81</f>
        <v>1750</v>
      </c>
      <c r="AH83" s="601"/>
      <c r="AI83" s="602"/>
      <c r="AJ83" s="603" t="s">
        <v>578</v>
      </c>
      <c r="AK83" s="644">
        <f>B81</f>
        <v>1750</v>
      </c>
      <c r="AL83" s="617"/>
      <c r="AM83" s="603"/>
      <c r="AN83" s="603" t="s">
        <v>582</v>
      </c>
      <c r="AO83" s="644">
        <f>B81</f>
        <v>1750</v>
      </c>
      <c r="AP83" s="602"/>
      <c r="AQ83" s="593">
        <f>SUM(AQ85:AQ89)</f>
        <v>0</v>
      </c>
      <c r="AR83" s="615"/>
      <c r="AS83" s="616"/>
    </row>
    <row r="84" spans="1:45" ht="24.75" customHeight="1">
      <c r="A84" s="2454"/>
      <c r="B84" s="1802" t="s">
        <v>61</v>
      </c>
      <c r="C84" s="640" t="s">
        <v>60</v>
      </c>
      <c r="D84" s="640" t="s">
        <v>577</v>
      </c>
      <c r="E84" s="3478"/>
      <c r="F84" s="1803" t="s">
        <v>576</v>
      </c>
      <c r="G84" s="1286" t="s">
        <v>65</v>
      </c>
      <c r="H84" s="1804" t="s">
        <v>64</v>
      </c>
      <c r="I84" s="3465"/>
      <c r="J84" s="1353"/>
      <c r="K84" s="1354" t="s">
        <v>1</v>
      </c>
      <c r="L84" s="1355">
        <f>S82</f>
        <v>2</v>
      </c>
      <c r="M84" s="1356" t="s">
        <v>0</v>
      </c>
      <c r="N84" s="1355">
        <f>U82</f>
        <v>2</v>
      </c>
      <c r="O84" s="1799"/>
      <c r="Q84" s="29" t="s">
        <v>61</v>
      </c>
      <c r="R84" s="1359" t="s">
        <v>60</v>
      </c>
      <c r="S84" s="1360" t="s">
        <v>63</v>
      </c>
      <c r="T84" s="1805" t="s">
        <v>62</v>
      </c>
      <c r="U84" s="625"/>
      <c r="V84" s="622" t="s">
        <v>490</v>
      </c>
      <c r="W84" s="622" t="s">
        <v>61</v>
      </c>
      <c r="X84" s="620" t="s">
        <v>60</v>
      </c>
      <c r="Y84" s="1060"/>
      <c r="Z84" s="718" t="s">
        <v>1565</v>
      </c>
      <c r="AA84" s="718" t="s">
        <v>702</v>
      </c>
      <c r="AB84" s="622" t="s">
        <v>703</v>
      </c>
      <c r="AC84" s="620" t="s">
        <v>699</v>
      </c>
      <c r="AD84" s="1357" t="s">
        <v>1487</v>
      </c>
      <c r="AE84" s="619" t="s">
        <v>577</v>
      </c>
      <c r="AF84" s="622" t="s">
        <v>61</v>
      </c>
      <c r="AG84" s="622" t="s">
        <v>60</v>
      </c>
      <c r="AH84" s="619" t="s">
        <v>576</v>
      </c>
      <c r="AI84" s="645" t="s">
        <v>577</v>
      </c>
      <c r="AJ84" s="622" t="s">
        <v>61</v>
      </c>
      <c r="AK84" s="620" t="s">
        <v>60</v>
      </c>
      <c r="AL84" s="645" t="s">
        <v>576</v>
      </c>
      <c r="AM84" s="622" t="s">
        <v>577</v>
      </c>
      <c r="AN84" s="622" t="s">
        <v>61</v>
      </c>
      <c r="AO84" s="620" t="s">
        <v>60</v>
      </c>
      <c r="AP84" s="619" t="s">
        <v>576</v>
      </c>
      <c r="AQ84" s="622" t="s">
        <v>577</v>
      </c>
      <c r="AR84" s="622" t="s">
        <v>61</v>
      </c>
      <c r="AS84" s="622" t="s">
        <v>60</v>
      </c>
    </row>
    <row r="85" spans="1:45" ht="18.95" customHeight="1">
      <c r="A85" s="2454"/>
      <c r="B85" s="1806">
        <f>IF(D82=1,AF85,IF(D82=2,AJ85,IF(D82=3,AN85,IF(D82=4,AR85))))</f>
        <v>1</v>
      </c>
      <c r="C85" s="610" t="str">
        <f>IF(D82=1,AG85,IF(D82=2,AK85,IF(D82=3,AO85,IF(D82=4,AS85))))</f>
        <v>litre</v>
      </c>
      <c r="D85" s="334">
        <f>IF(D82=1,AE85,IF(D82=2,AI85,IF(D82=3,AM85,IF(D82=4,AQ85))))</f>
        <v>1000</v>
      </c>
      <c r="E85" s="634" t="str">
        <f>IF(D82=1,"",IF(D85=F85,"",AB85))</f>
        <v/>
      </c>
      <c r="F85" s="51">
        <f>IF(D82=1,"",IF(D82=2,AH85,IF(D82=3,AL85,IF(D82=4,AP85))))</f>
        <v>1000</v>
      </c>
      <c r="G85" s="22" t="str">
        <f>T85</f>
        <v>1. litre de lait</v>
      </c>
      <c r="H85" s="656">
        <f>U83</f>
        <v>1750</v>
      </c>
      <c r="I85" s="3465"/>
      <c r="J85" s="1280" t="s">
        <v>68</v>
      </c>
      <c r="K85" s="33"/>
      <c r="L85" s="32"/>
      <c r="M85" s="15"/>
      <c r="N85" s="15"/>
      <c r="O85" s="1799"/>
      <c r="Q85" s="1147">
        <v>1</v>
      </c>
      <c r="R85" s="1807" t="s">
        <v>729</v>
      </c>
      <c r="S85" s="1808">
        <v>1000</v>
      </c>
      <c r="T85" s="22" t="s">
        <v>82</v>
      </c>
      <c r="U85" s="626">
        <f>IF(ISBLANK(Q85),S85,(S85*Q85))</f>
        <v>1000</v>
      </c>
      <c r="V85" s="331">
        <f>(U85/U83)*V83</f>
        <v>571.42857142857144</v>
      </c>
      <c r="W85" s="18">
        <f>IF(ISBLANK(Q85),"",(Q85/U83)*V83)</f>
        <v>0.57142857142857151</v>
      </c>
      <c r="X85" s="594" t="str">
        <f>R85</f>
        <v>litre</v>
      </c>
      <c r="Y85" s="1365">
        <f>U85/U83</f>
        <v>0.5714285714285714</v>
      </c>
      <c r="Z85" s="630"/>
      <c r="AA85" s="624">
        <f>Z83</f>
        <v>0</v>
      </c>
      <c r="AB85" s="624">
        <f>Z85+AA85</f>
        <v>0</v>
      </c>
      <c r="AC85" s="1366">
        <f>1-AB85</f>
        <v>1</v>
      </c>
      <c r="AE85" s="623">
        <f>((U85/U83)*AG83)</f>
        <v>1000</v>
      </c>
      <c r="AF85" s="18">
        <f>IF(ISTEXT(Q85),Q85,IF(ISBLANK(Q85),0,(Q85/U83)*AG83))</f>
        <v>1</v>
      </c>
      <c r="AG85" s="17" t="str">
        <f>R85</f>
        <v>litre</v>
      </c>
      <c r="AH85" s="628">
        <f>AI85*AC85</f>
        <v>1000</v>
      </c>
      <c r="AI85" s="646">
        <f>AK83*Y85</f>
        <v>1000</v>
      </c>
      <c r="AJ85" s="18">
        <f>IF(ISBLANK(Q85),0,(Q85/U83)*AK83)</f>
        <v>1</v>
      </c>
      <c r="AK85" s="594" t="str">
        <f>R85</f>
        <v>litre</v>
      </c>
      <c r="AL85" s="646">
        <f>AI85</f>
        <v>1000</v>
      </c>
      <c r="AM85" s="715">
        <f>(AL85*AB85)+AL85</f>
        <v>1000</v>
      </c>
      <c r="AN85" s="18">
        <f>IF(ISBLANK(Q85),0,(Q85/U90)*AM91)</f>
        <v>1.0214285714285716</v>
      </c>
      <c r="AO85" s="594" t="str">
        <f>R85</f>
        <v>litre</v>
      </c>
      <c r="AP85" s="649" t="s">
        <v>588</v>
      </c>
      <c r="AQ85" s="648" t="s">
        <v>589</v>
      </c>
      <c r="AR85" s="648" t="s">
        <v>587</v>
      </c>
      <c r="AS85" s="648">
        <v>3</v>
      </c>
    </row>
    <row r="86" spans="1:45" ht="18.95" customHeight="1">
      <c r="A86" s="2454"/>
      <c r="B86" s="1806">
        <f>IF(D82=1,AF86,IF(D82=2,AJ86,IF(D82=3,AN86,IF(D82=4,AR86))))</f>
        <v>0</v>
      </c>
      <c r="C86" s="610">
        <f>IF(D82=1,AG86,IF(D82=2,AK86,IF(D82=3,AO86,IF(D82=4,AS86))))</f>
        <v>0</v>
      </c>
      <c r="D86" s="334">
        <f>IF(D82=1,AE86,IF(D82=2,AI86,IF(D82=3,AM86,IF(D82=4,AQ86))))</f>
        <v>500</v>
      </c>
      <c r="E86" s="634" t="str">
        <f>IF(D82=1,"",IF(D86=F86,"",AB86))</f>
        <v/>
      </c>
      <c r="F86" s="51">
        <f>IF(D82=1,"",IF(D82=2,AH86,IF(D82=3,AL86,IF(D82=4,AP86))))</f>
        <v>500</v>
      </c>
      <c r="G86" s="22" t="str">
        <f>T86</f>
        <v>0.500 kg de pain sec (avec le moins de croute colorée possible)</v>
      </c>
      <c r="H86" s="22"/>
      <c r="I86" s="3465"/>
      <c r="J86" s="1530">
        <v>1</v>
      </c>
      <c r="K86" s="674" t="s">
        <v>667</v>
      </c>
      <c r="L86" s="15"/>
      <c r="M86" s="15"/>
      <c r="N86" s="15"/>
      <c r="O86" s="1799"/>
      <c r="Q86" s="1147"/>
      <c r="R86" s="1807"/>
      <c r="S86" s="1808">
        <v>500</v>
      </c>
      <c r="T86" s="22" t="s">
        <v>81</v>
      </c>
      <c r="U86" s="626">
        <f>IF(ISBLANK(Q86),S86,(S86*Q86))</f>
        <v>500</v>
      </c>
      <c r="V86" s="331">
        <f>(U86/U83)*V83</f>
        <v>285.71428571428572</v>
      </c>
      <c r="W86" s="18" t="str">
        <f>IF(ISBLANK(Q86),"",(Q86/U83)*V83)</f>
        <v/>
      </c>
      <c r="X86" s="594">
        <f>R86</f>
        <v>0</v>
      </c>
      <c r="Y86" s="1365">
        <f>U86/U83</f>
        <v>0.2857142857142857</v>
      </c>
      <c r="Z86" s="630"/>
      <c r="AA86" s="624">
        <f>Z83</f>
        <v>0</v>
      </c>
      <c r="AB86" s="624">
        <f>Z86+AA86</f>
        <v>0</v>
      </c>
      <c r="AC86" s="1366">
        <f>1-AB86</f>
        <v>1</v>
      </c>
      <c r="AE86" s="623">
        <f>((U86/U83)*AG83)</f>
        <v>500</v>
      </c>
      <c r="AF86" s="18">
        <f>IF(ISTEXT(Q86),Q86,IF(ISBLANK(Q86),0,(Q86/U83)*AG83))</f>
        <v>0</v>
      </c>
      <c r="AG86" s="17">
        <f>R86</f>
        <v>0</v>
      </c>
      <c r="AH86" s="628">
        <f>AI86*AC86</f>
        <v>500</v>
      </c>
      <c r="AI86" s="646">
        <f>AK83*Y86</f>
        <v>500</v>
      </c>
      <c r="AJ86" s="18">
        <f>IF(ISBLANK(Q86),0,(Q86/U83)*AK83)</f>
        <v>0</v>
      </c>
      <c r="AK86" s="594">
        <f>R86</f>
        <v>0</v>
      </c>
      <c r="AL86" s="646">
        <f>AI86</f>
        <v>500</v>
      </c>
      <c r="AM86" s="715">
        <f>(AL86*AB86)+AL86</f>
        <v>500</v>
      </c>
      <c r="AN86" s="18">
        <f>IF(ISBLANK(Q86),0,(Q86/U90)*AM91)</f>
        <v>0</v>
      </c>
      <c r="AO86" s="594">
        <f>R86</f>
        <v>0</v>
      </c>
      <c r="AP86" s="649" t="s">
        <v>588</v>
      </c>
      <c r="AQ86" s="648" t="s">
        <v>589</v>
      </c>
      <c r="AR86" s="648" t="s">
        <v>587</v>
      </c>
      <c r="AS86" s="648">
        <v>3</v>
      </c>
    </row>
    <row r="87" spans="1:45" ht="18.95" customHeight="1">
      <c r="A87" s="2454"/>
      <c r="B87" s="1806">
        <f>IF(D82=1,AF87,IF(D82=2,AJ87,IF(D82=3,AN87,IF(D82=4,AR87))))</f>
        <v>2</v>
      </c>
      <c r="C87" s="610" t="str">
        <f>IF(D82=1,AG87,IF(D82=2,AK87,IF(D82=3,AO87,IF(D82=4,AS87))))</f>
        <v>œufs</v>
      </c>
      <c r="D87" s="334">
        <f>IF(D82=1,AE87,IF(D82=2,AI87,IF(D82=3,AM87,IF(D82=4,AQ87))))</f>
        <v>100</v>
      </c>
      <c r="E87" s="634" t="str">
        <f>IF(D82=1,"",IF(D87=F87,"",AB87))</f>
        <v/>
      </c>
      <c r="F87" s="51">
        <f>IF(D82=1,"",IF(D82=2,AH87,IF(D82=3,AL87,IF(D82=4,AP87))))</f>
        <v>100</v>
      </c>
      <c r="G87" s="22" t="str">
        <f>T87</f>
        <v>2 œufs</v>
      </c>
      <c r="H87" s="22"/>
      <c r="I87" s="3465"/>
      <c r="J87" s="658">
        <v>4</v>
      </c>
      <c r="K87" s="674" t="s">
        <v>668</v>
      </c>
      <c r="L87" s="15"/>
      <c r="M87" s="15"/>
      <c r="N87" s="15"/>
      <c r="O87" s="1799"/>
      <c r="Q87" s="1147">
        <v>2</v>
      </c>
      <c r="R87" s="1807" t="s">
        <v>80</v>
      </c>
      <c r="S87" s="1808">
        <v>50</v>
      </c>
      <c r="T87" s="22" t="s">
        <v>79</v>
      </c>
      <c r="U87" s="626">
        <f>IF(ISBLANK(Q87),S87,(S87*Q87))</f>
        <v>100</v>
      </c>
      <c r="V87" s="331">
        <f>(U87/U83)*V83</f>
        <v>57.142857142857139</v>
      </c>
      <c r="W87" s="18">
        <f>IF(ISBLANK(Q87),"",(Q87/U83)*V83)</f>
        <v>1.142857142857143</v>
      </c>
      <c r="X87" s="594" t="str">
        <f>R87</f>
        <v>œufs</v>
      </c>
      <c r="Y87" s="1365">
        <f>U87/U83</f>
        <v>5.7142857142857141E-2</v>
      </c>
      <c r="Z87" s="630"/>
      <c r="AA87" s="624">
        <f>Z83</f>
        <v>0</v>
      </c>
      <c r="AB87" s="624">
        <f>Z87+AA87</f>
        <v>0</v>
      </c>
      <c r="AC87" s="1366">
        <f>1-AB87</f>
        <v>1</v>
      </c>
      <c r="AE87" s="623">
        <f>((U87/U83)*AG83)</f>
        <v>100</v>
      </c>
      <c r="AF87" s="18">
        <f>IF(ISTEXT(Q87),Q87,IF(ISBLANK(Q87),0,(Q87/U83)*AG83))</f>
        <v>2</v>
      </c>
      <c r="AG87" s="17" t="str">
        <f>R87</f>
        <v>œufs</v>
      </c>
      <c r="AH87" s="628">
        <f>AI87*AC87</f>
        <v>100</v>
      </c>
      <c r="AI87" s="646">
        <f>AK83*Y87</f>
        <v>100</v>
      </c>
      <c r="AJ87" s="18">
        <f>IF(ISBLANK(Q87),0,(Q87/U83)*AK83)</f>
        <v>2</v>
      </c>
      <c r="AK87" s="594" t="str">
        <f>R87</f>
        <v>œufs</v>
      </c>
      <c r="AL87" s="646">
        <f>AI87</f>
        <v>100</v>
      </c>
      <c r="AM87" s="715">
        <f>(AL87*AB87)+AL87</f>
        <v>100</v>
      </c>
      <c r="AN87" s="18">
        <f>IF(ISBLANK(Q87),0,(Q87/U90)*AM91)</f>
        <v>2.0428571428571431</v>
      </c>
      <c r="AO87" s="594" t="str">
        <f>R87</f>
        <v>œufs</v>
      </c>
      <c r="AP87" s="649" t="s">
        <v>588</v>
      </c>
      <c r="AQ87" s="648" t="s">
        <v>589</v>
      </c>
      <c r="AR87" s="648" t="s">
        <v>587</v>
      </c>
      <c r="AS87" s="648">
        <v>3</v>
      </c>
    </row>
    <row r="88" spans="1:45" ht="18.95" customHeight="1">
      <c r="A88" s="2454"/>
      <c r="B88" s="1809">
        <f>IF(D82=1,AF88,IF(D82=2,AJ88,IF(D82=3,AN88,IF(D82=4,AR88))))</f>
        <v>1</v>
      </c>
      <c r="C88" s="610" t="str">
        <f>IF(D82=1,AG88,IF(D82=2,AK88,IF(D82=3,AO88,IF(D82=4,AS88))))</f>
        <v>baton</v>
      </c>
      <c r="D88" s="334">
        <f>IF(D82=1,AE88,IF(D82=2,AI88,IF(D82=3,AM88,IF(D82=4,AQ88))))</f>
        <v>0</v>
      </c>
      <c r="E88" s="634" t="str">
        <f>IF(D82=1,"",IF(D88=F88,"",AB88))</f>
        <v/>
      </c>
      <c r="F88" s="51">
        <f>IF(D82=1,"",IF(D82=2,AH88,IF(D82=3,AL88,IF(D82=4,AP88))))</f>
        <v>0</v>
      </c>
      <c r="G88" s="22" t="str">
        <f>T88</f>
        <v>1 baton de vanille</v>
      </c>
      <c r="H88" s="22"/>
      <c r="I88" s="3465"/>
      <c r="J88" s="658">
        <v>5</v>
      </c>
      <c r="K88" s="15"/>
      <c r="L88" s="15"/>
      <c r="M88" s="15"/>
      <c r="N88" s="15"/>
      <c r="O88" s="1799"/>
      <c r="Q88" s="1147">
        <v>1</v>
      </c>
      <c r="R88" s="1807" t="s">
        <v>753</v>
      </c>
      <c r="S88" s="1808"/>
      <c r="T88" s="22" t="s">
        <v>730</v>
      </c>
      <c r="U88" s="626">
        <f>IF(ISBLANK(Q88),S88,(S88*Q88))</f>
        <v>0</v>
      </c>
      <c r="V88" s="331">
        <f>(U88/U83)*V83</f>
        <v>0</v>
      </c>
      <c r="W88" s="18">
        <f>IF(ISBLANK(Q88),"",(Q88/U83)*V83)</f>
        <v>0.57142857142857151</v>
      </c>
      <c r="X88" s="594" t="str">
        <f>R88</f>
        <v>baton</v>
      </c>
      <c r="Y88" s="1365">
        <f>U88/U83</f>
        <v>0</v>
      </c>
      <c r="Z88" s="630"/>
      <c r="AA88" s="624">
        <f>Z83</f>
        <v>0</v>
      </c>
      <c r="AB88" s="624">
        <f>Z88+AA88</f>
        <v>0</v>
      </c>
      <c r="AC88" s="1366">
        <f>1-AB88</f>
        <v>1</v>
      </c>
      <c r="AE88" s="623">
        <f>((U88/U83)*AG83)</f>
        <v>0</v>
      </c>
      <c r="AF88" s="18">
        <f>IF(ISTEXT(Q88),Q88,IF(ISBLANK(Q88),0,(Q88/U83)*AG83))</f>
        <v>1</v>
      </c>
      <c r="AG88" s="17" t="str">
        <f>R88</f>
        <v>baton</v>
      </c>
      <c r="AH88" s="628">
        <f>AI88*AC88</f>
        <v>0</v>
      </c>
      <c r="AI88" s="646">
        <f>AK83*Y88</f>
        <v>0</v>
      </c>
      <c r="AJ88" s="18">
        <f>IF(ISBLANK(Q88),0,(Q88/U83)*AK83)</f>
        <v>1</v>
      </c>
      <c r="AK88" s="594" t="str">
        <f>R88</f>
        <v>baton</v>
      </c>
      <c r="AL88" s="646">
        <f>AI88</f>
        <v>0</v>
      </c>
      <c r="AM88" s="715">
        <f>(AL88*AB88)+AL88</f>
        <v>0</v>
      </c>
      <c r="AN88" s="18">
        <f>IF(ISBLANK(Q88),0,(Q88/U90)*AM91)</f>
        <v>1.0214285714285716</v>
      </c>
      <c r="AO88" s="594" t="str">
        <f>R88</f>
        <v>baton</v>
      </c>
      <c r="AP88" s="649" t="s">
        <v>588</v>
      </c>
      <c r="AQ88" s="648" t="s">
        <v>589</v>
      </c>
      <c r="AR88" s="648" t="s">
        <v>587</v>
      </c>
      <c r="AS88" s="648">
        <v>3</v>
      </c>
    </row>
    <row r="89" spans="1:45" ht="18.95" customHeight="1">
      <c r="A89" s="2454"/>
      <c r="B89" s="1806">
        <f>IF(D82=1,AF89,IF(D82=2,AJ89,IF(D82=3,AN89,IF(D82=4,AR89))))</f>
        <v>1</v>
      </c>
      <c r="C89" s="610" t="str">
        <f>IF(D82=1,AG89,IF(D82=2,AK89,IF(D82=3,AO89,IF(D82=4,AS89))))</f>
        <v>banane</v>
      </c>
      <c r="D89" s="334">
        <f>IF(D82=1,AE89,IF(D82=2,AI89,IF(D82=3,AM89,IF(D82=4,AQ89))))</f>
        <v>150</v>
      </c>
      <c r="E89" s="634">
        <f>IF(D82=1,"",IF(D89=F89,"",AB89))</f>
        <v>0.25</v>
      </c>
      <c r="F89" s="51">
        <f>IF(D82=1,"",IF(D82=2,AH89,IF(D82=3,AL89,IF(D82=4,AP89))))</f>
        <v>112.5</v>
      </c>
      <c r="G89" s="22" t="str">
        <f>T89</f>
        <v>1 banane</v>
      </c>
      <c r="H89" s="22"/>
      <c r="I89" s="3465"/>
      <c r="J89" s="658">
        <v>6</v>
      </c>
      <c r="K89" s="15"/>
      <c r="L89" s="15"/>
      <c r="M89" s="15"/>
      <c r="N89" s="15"/>
      <c r="O89" s="1799"/>
      <c r="Q89" s="1147">
        <v>1</v>
      </c>
      <c r="R89" s="1807" t="s">
        <v>731</v>
      </c>
      <c r="S89" s="1808">
        <v>150</v>
      </c>
      <c r="T89" s="22" t="s">
        <v>681</v>
      </c>
      <c r="U89" s="626">
        <f>IF(ISBLANK(Q89),S89,(S89*Q89))</f>
        <v>150</v>
      </c>
      <c r="V89" s="331">
        <f>(U89/U83)*V83</f>
        <v>85.714285714285708</v>
      </c>
      <c r="W89" s="18">
        <f>IF(ISBLANK(Q89),"",(Q89/U83)*V83)</f>
        <v>0.57142857142857151</v>
      </c>
      <c r="X89" s="594" t="str">
        <f>R89</f>
        <v>banane</v>
      </c>
      <c r="Y89" s="1365">
        <f>U89/U83</f>
        <v>8.5714285714285715E-2</v>
      </c>
      <c r="Z89" s="630">
        <v>0.25</v>
      </c>
      <c r="AA89" s="624">
        <f>Z83</f>
        <v>0</v>
      </c>
      <c r="AB89" s="624">
        <f>Z89+AA89</f>
        <v>0.25</v>
      </c>
      <c r="AC89" s="1366">
        <f>1-AB89</f>
        <v>0.75</v>
      </c>
      <c r="AE89" s="623">
        <f>((U89/U83)*AG83)</f>
        <v>150</v>
      </c>
      <c r="AF89" s="18">
        <f>IF(ISTEXT(Q89),Q89,IF(ISBLANK(Q89),0,(Q89/U83)*AG83))</f>
        <v>1</v>
      </c>
      <c r="AG89" s="17" t="str">
        <f>R89</f>
        <v>banane</v>
      </c>
      <c r="AH89" s="628">
        <f>AI89*AC89</f>
        <v>112.5</v>
      </c>
      <c r="AI89" s="646">
        <f>AK83*Y89</f>
        <v>150</v>
      </c>
      <c r="AJ89" s="18">
        <f>IF(ISBLANK(Q89),0,(Q89/U83)*AK83)</f>
        <v>1</v>
      </c>
      <c r="AK89" s="594" t="str">
        <f>R89</f>
        <v>banane</v>
      </c>
      <c r="AL89" s="646">
        <f>AI89</f>
        <v>150</v>
      </c>
      <c r="AM89" s="715">
        <f>(AL89*AB89)+AL89</f>
        <v>187.5</v>
      </c>
      <c r="AN89" s="18">
        <f>IF(ISBLANK(Q89),0,(Q89/U90)*AM91)</f>
        <v>1.0214285714285716</v>
      </c>
      <c r="AO89" s="594" t="str">
        <f t="shared" ref="AO89" si="0">R89</f>
        <v>banane</v>
      </c>
      <c r="AP89" s="649" t="s">
        <v>588</v>
      </c>
      <c r="AQ89" s="648" t="s">
        <v>589</v>
      </c>
      <c r="AR89" s="648" t="s">
        <v>587</v>
      </c>
      <c r="AS89" s="648">
        <v>3</v>
      </c>
    </row>
    <row r="90" spans="1:45" ht="18.95" customHeight="1">
      <c r="A90" s="2454"/>
      <c r="B90" s="606" t="s">
        <v>22</v>
      </c>
      <c r="C90" s="606" t="s">
        <v>575</v>
      </c>
      <c r="D90" s="606" t="s">
        <v>585</v>
      </c>
      <c r="E90" s="635" t="s">
        <v>583</v>
      </c>
      <c r="F90" s="606" t="s">
        <v>584</v>
      </c>
      <c r="G90" s="606"/>
      <c r="H90" s="606"/>
      <c r="I90" s="3465"/>
      <c r="J90" s="606"/>
      <c r="K90" s="606"/>
      <c r="L90" s="606"/>
      <c r="M90" s="606"/>
      <c r="N90" s="606"/>
      <c r="O90" s="1799"/>
      <c r="Q90" s="1537"/>
      <c r="R90" s="13"/>
      <c r="S90" s="653">
        <f>SUM(S84:S89)/1000</f>
        <v>1.7</v>
      </c>
      <c r="T90" s="13"/>
      <c r="U90" s="627">
        <f>SUM(U84:U89)</f>
        <v>1750</v>
      </c>
      <c r="V90" s="597"/>
      <c r="W90" s="597"/>
      <c r="X90" s="598"/>
      <c r="Y90" s="632"/>
      <c r="Z90" s="730">
        <f>COUNTA(Z85:Z89)</f>
        <v>1</v>
      </c>
      <c r="AA90" s="631"/>
      <c r="AB90" s="621"/>
      <c r="AC90" s="598"/>
      <c r="AE90" s="607" t="s">
        <v>22</v>
      </c>
      <c r="AF90" s="621"/>
      <c r="AG90" s="621"/>
      <c r="AH90" s="607" t="s">
        <v>22</v>
      </c>
      <c r="AI90" s="606" t="s">
        <v>22</v>
      </c>
      <c r="AJ90" s="606" t="s">
        <v>225</v>
      </c>
      <c r="AK90" s="604" t="s">
        <v>575</v>
      </c>
      <c r="AL90" s="607" t="s">
        <v>22</v>
      </c>
      <c r="AM90" s="606" t="s">
        <v>22</v>
      </c>
      <c r="AN90" s="606" t="s">
        <v>225</v>
      </c>
      <c r="AO90" s="604" t="s">
        <v>575</v>
      </c>
      <c r="AP90" s="606"/>
      <c r="AQ90" s="618"/>
      <c r="AR90" s="606"/>
      <c r="AS90" s="606"/>
    </row>
    <row r="91" spans="1:45" ht="18.95" customHeight="1" thickBot="1">
      <c r="A91" s="2454"/>
      <c r="B91" s="5">
        <f>SUM(B85:B89)</f>
        <v>5</v>
      </c>
      <c r="C91" s="3">
        <f>IF((F91)=0,"",(D91-F91))</f>
        <v>37.5</v>
      </c>
      <c r="D91" s="3">
        <f>SUM(D85:D89)</f>
        <v>1750</v>
      </c>
      <c r="E91" s="636">
        <f>C91/D91</f>
        <v>2.1428571428571429E-2</v>
      </c>
      <c r="F91" s="3">
        <f>SUM(F85:F89)</f>
        <v>1712.5</v>
      </c>
      <c r="G91" s="1076" t="s">
        <v>1590</v>
      </c>
      <c r="H91" s="606"/>
      <c r="I91" s="1087" t="s">
        <v>743</v>
      </c>
      <c r="J91" s="606"/>
      <c r="K91" s="606"/>
      <c r="L91" s="606"/>
      <c r="M91" s="606"/>
      <c r="N91" s="606"/>
      <c r="O91" s="1087" t="s">
        <v>818</v>
      </c>
      <c r="Q91" s="3479" t="s">
        <v>6</v>
      </c>
      <c r="R91" s="1368" t="s">
        <v>5</v>
      </c>
      <c r="S91" s="1810" t="s">
        <v>696</v>
      </c>
      <c r="T91" s="1368"/>
      <c r="U91" s="780"/>
      <c r="V91" s="1119">
        <f>SUM(V85:V90)</f>
        <v>999.99999999999989</v>
      </c>
      <c r="W91" s="1118">
        <f>SUM(W85:W90)</f>
        <v>2.8571428571428577</v>
      </c>
      <c r="X91" s="1113" t="s">
        <v>14</v>
      </c>
      <c r="Y91" s="1811"/>
      <c r="Z91" s="1111"/>
      <c r="AA91" s="1111"/>
      <c r="AB91" s="1112"/>
      <c r="AC91" s="1113"/>
      <c r="AD91" s="1357" t="s">
        <v>1487</v>
      </c>
      <c r="AE91" s="647">
        <f>SUM(AE85:AE89)</f>
        <v>1750</v>
      </c>
      <c r="AF91" s="1112"/>
      <c r="AG91" s="1112"/>
      <c r="AH91" s="647">
        <f>SUM(AH85:AH89)</f>
        <v>1712.5</v>
      </c>
      <c r="AI91" s="3">
        <f>SUM(AI85:AI89)</f>
        <v>1750</v>
      </c>
      <c r="AJ91" s="605">
        <f>(AK91/AI91%)</f>
        <v>2.1428571428571428</v>
      </c>
      <c r="AK91" s="596">
        <f>AI91-AH91</f>
        <v>37.5</v>
      </c>
      <c r="AL91" s="595">
        <f>SUM(AL85:AL89)</f>
        <v>1750</v>
      </c>
      <c r="AM91" s="3">
        <f>SUM(AM85:AM89)</f>
        <v>1787.5</v>
      </c>
      <c r="AN91" s="605">
        <f>(AO91/AM91%)</f>
        <v>2.0979020979020979</v>
      </c>
      <c r="AO91" s="596">
        <f>AM91-AL91</f>
        <v>37.5</v>
      </c>
      <c r="AP91" s="650"/>
      <c r="AQ91" s="651"/>
      <c r="AR91" s="650"/>
      <c r="AS91" s="652"/>
    </row>
    <row r="92" spans="1:45" ht="18.95" customHeight="1">
      <c r="B92" s="748" t="str">
        <f>ADDRESS(ROW(),COLUMN(),4)</f>
        <v>B92</v>
      </c>
      <c r="C92" s="781">
        <v>12</v>
      </c>
      <c r="D92" s="1812" t="s">
        <v>1697</v>
      </c>
      <c r="E92" s="1058"/>
      <c r="F92" s="1058"/>
      <c r="G92" s="1063"/>
      <c r="H92" s="2612">
        <f>(C93*C92)/1000</f>
        <v>1.32</v>
      </c>
      <c r="I92" s="777"/>
      <c r="J92" s="1375"/>
      <c r="K92" s="1375"/>
      <c r="L92" s="1375"/>
      <c r="M92" s="1375"/>
      <c r="N92" s="1375"/>
      <c r="O92" s="774"/>
      <c r="Q92" s="3480"/>
      <c r="R92" s="1285" t="s">
        <v>5</v>
      </c>
      <c r="S92" s="1285"/>
      <c r="T92" s="1285"/>
      <c r="U92" s="789"/>
      <c r="V92" s="785"/>
      <c r="W92" s="786"/>
      <c r="X92" s="775"/>
      <c r="Y92" s="775"/>
      <c r="Z92" s="775"/>
      <c r="AA92" s="1070" t="s">
        <v>1569</v>
      </c>
      <c r="AB92" s="775"/>
      <c r="AC92" s="775"/>
      <c r="AE92" s="785"/>
      <c r="AF92" s="775"/>
      <c r="AG92" s="775"/>
      <c r="AH92" s="776"/>
      <c r="AI92" s="776"/>
      <c r="AJ92" s="775"/>
      <c r="AK92" s="775"/>
      <c r="AL92" s="776"/>
      <c r="AM92" s="776"/>
      <c r="AN92" s="778"/>
      <c r="AO92" s="778"/>
      <c r="AP92" s="778"/>
      <c r="AQ92" s="778"/>
      <c r="AR92" s="778"/>
      <c r="AS92" s="778"/>
    </row>
    <row r="93" spans="1:45" ht="19.5" customHeight="1" thickBot="1">
      <c r="B93" s="748" t="str">
        <f t="shared" ref="B93:B95" si="1">ADDRESS(ROW(),COLUMN(),4)</f>
        <v>B93</v>
      </c>
      <c r="C93" s="782">
        <v>110</v>
      </c>
      <c r="D93" s="1813" t="s">
        <v>1710</v>
      </c>
      <c r="E93" s="1814"/>
      <c r="F93" s="1814"/>
      <c r="G93" s="1063" t="s">
        <v>1711</v>
      </c>
      <c r="H93" s="2614"/>
      <c r="I93" s="777"/>
      <c r="J93" s="1375"/>
      <c r="K93" s="1375"/>
      <c r="L93" s="1375"/>
      <c r="M93" s="1375"/>
      <c r="N93" s="1375"/>
      <c r="O93" s="774"/>
      <c r="Q93" s="53"/>
      <c r="R93" s="53"/>
      <c r="S93" s="53"/>
      <c r="T93" s="53"/>
      <c r="U93" s="53"/>
      <c r="V93" s="53"/>
      <c r="W93" s="53"/>
      <c r="X93" s="53"/>
      <c r="Y93" s="53"/>
      <c r="Z93" s="53"/>
      <c r="AA93" s="1071">
        <v>6</v>
      </c>
      <c r="AB93" s="53"/>
      <c r="AC93" s="53"/>
      <c r="AE93" s="53"/>
      <c r="AF93" s="53"/>
      <c r="AG93" s="53"/>
      <c r="AH93" s="53"/>
      <c r="AI93" s="53"/>
      <c r="AJ93" s="53"/>
      <c r="AK93" s="53"/>
      <c r="AL93" s="53"/>
      <c r="AM93" s="53"/>
      <c r="AN93" s="779"/>
      <c r="AO93" s="779"/>
      <c r="AP93" s="779"/>
      <c r="AQ93" s="779"/>
      <c r="AR93" s="779"/>
      <c r="AS93" s="779"/>
    </row>
    <row r="94" spans="1:45" ht="19.5" customHeight="1">
      <c r="B94" s="748" t="str">
        <f t="shared" si="1"/>
        <v>B94</v>
      </c>
      <c r="C94" s="1327">
        <f>N80</f>
        <v>14.583333333333334</v>
      </c>
      <c r="D94" s="1815" t="s">
        <v>1712</v>
      </c>
      <c r="E94" s="1058"/>
      <c r="F94" s="1058"/>
      <c r="G94" s="1816"/>
      <c r="H94" s="2612">
        <f>((U90/C94)*C95)/1000</f>
        <v>1.2</v>
      </c>
      <c r="I94" s="777"/>
      <c r="J94" s="1375"/>
      <c r="K94" s="1375"/>
      <c r="L94" s="1375"/>
      <c r="M94" s="1375"/>
      <c r="N94" s="1375"/>
      <c r="O94" s="774"/>
      <c r="Q94" s="53"/>
      <c r="R94" s="53"/>
      <c r="S94" s="53"/>
      <c r="T94" s="53"/>
      <c r="U94" s="53"/>
      <c r="V94" s="53"/>
      <c r="W94" s="53"/>
      <c r="X94" s="53"/>
      <c r="Y94" s="53"/>
      <c r="Z94" s="53"/>
      <c r="AA94" s="1071">
        <v>6</v>
      </c>
      <c r="AB94" s="53"/>
      <c r="AC94" s="53"/>
      <c r="AE94" s="53"/>
      <c r="AF94" s="53"/>
      <c r="AG94" s="53"/>
      <c r="AH94" s="53"/>
      <c r="AI94" s="53"/>
      <c r="AJ94" s="53"/>
      <c r="AK94" s="53"/>
      <c r="AL94" s="53"/>
      <c r="AM94" s="53"/>
      <c r="AN94" s="53"/>
      <c r="AO94" s="53"/>
      <c r="AP94" s="779"/>
      <c r="AQ94" s="779"/>
      <c r="AR94" s="779"/>
      <c r="AS94" s="779"/>
    </row>
    <row r="95" spans="1:45" ht="19.5" customHeight="1" thickBot="1">
      <c r="B95" s="748" t="str">
        <f t="shared" si="1"/>
        <v>B95</v>
      </c>
      <c r="C95" s="1062">
        <v>10</v>
      </c>
      <c r="D95" s="1815" t="s">
        <v>1713</v>
      </c>
      <c r="E95" s="1058"/>
      <c r="F95" s="1058"/>
      <c r="G95" s="1326"/>
      <c r="H95" s="2614"/>
      <c r="I95" s="777"/>
      <c r="J95" s="1375"/>
      <c r="K95" s="1375"/>
      <c r="L95" s="1375"/>
      <c r="M95" s="1375"/>
      <c r="N95" s="1375"/>
      <c r="O95" s="774"/>
      <c r="Q95" s="53"/>
      <c r="R95" s="53"/>
      <c r="S95" s="53"/>
      <c r="T95" s="53"/>
      <c r="U95" s="53"/>
      <c r="V95" s="53"/>
      <c r="W95" s="53"/>
      <c r="X95" s="53"/>
      <c r="Y95" s="53"/>
      <c r="Z95" s="53"/>
      <c r="AA95" s="1071">
        <v>6</v>
      </c>
      <c r="AB95" s="53"/>
      <c r="AC95" s="53"/>
      <c r="AE95" s="53"/>
      <c r="AF95" s="53"/>
      <c r="AG95" s="53"/>
      <c r="AH95" s="53"/>
      <c r="AI95" s="53"/>
      <c r="AJ95" s="53"/>
      <c r="AK95" s="53"/>
      <c r="AL95" s="53"/>
      <c r="AM95" s="53"/>
      <c r="AN95" s="53"/>
      <c r="AO95" s="53"/>
      <c r="AP95" s="779"/>
      <c r="AQ95" s="779"/>
      <c r="AR95" s="779"/>
      <c r="AS95" s="779"/>
    </row>
    <row r="96" spans="1:45" ht="18.95" customHeight="1">
      <c r="B96" s="1"/>
      <c r="C96" s="1"/>
      <c r="D96" s="1"/>
      <c r="E96" s="1"/>
      <c r="F96" s="1"/>
      <c r="G96" s="1"/>
      <c r="H96" s="54"/>
      <c r="I96" s="54"/>
      <c r="J96" s="54"/>
      <c r="K96" s="54"/>
      <c r="L96" s="54"/>
      <c r="M96" s="1328" t="s">
        <v>1569</v>
      </c>
      <c r="N96" s="54"/>
      <c r="O96" s="54"/>
      <c r="P96" s="54"/>
      <c r="Q96" s="54"/>
      <c r="R96" s="54"/>
      <c r="S96" s="54"/>
      <c r="T96" s="1328" t="s">
        <v>1569</v>
      </c>
      <c r="U96" s="54"/>
      <c r="V96" s="54"/>
      <c r="W96" s="54"/>
      <c r="X96" s="54"/>
      <c r="Y96" s="54"/>
      <c r="Z96" s="54"/>
      <c r="AA96" s="54"/>
      <c r="AB96" s="54"/>
      <c r="AC96" s="54"/>
    </row>
    <row r="97" spans="1:35" ht="18.95" customHeight="1">
      <c r="B97" s="1390" t="s">
        <v>1571</v>
      </c>
      <c r="C97" s="2515" t="s">
        <v>1570</v>
      </c>
      <c r="D97" s="2515"/>
      <c r="E97" s="2515"/>
      <c r="F97" s="2515"/>
      <c r="G97" s="2515"/>
      <c r="H97" s="54"/>
      <c r="I97" s="54"/>
      <c r="J97" s="54"/>
      <c r="K97" s="54"/>
      <c r="L97" s="54"/>
      <c r="M97" s="1329">
        <v>6</v>
      </c>
      <c r="N97" s="54"/>
      <c r="O97" s="54"/>
      <c r="P97" s="54"/>
      <c r="Q97" s="54"/>
      <c r="R97" s="54"/>
      <c r="S97" s="54"/>
      <c r="T97" s="1329">
        <v>6</v>
      </c>
      <c r="U97" s="54"/>
      <c r="V97" s="54"/>
      <c r="W97" s="54"/>
      <c r="X97" s="54"/>
      <c r="Y97" s="3481"/>
      <c r="Z97" s="54"/>
      <c r="AA97" s="54"/>
      <c r="AB97" s="54"/>
      <c r="AC97" s="54"/>
    </row>
    <row r="98" spans="1:35" ht="18.95" customHeight="1">
      <c r="A98" s="54"/>
      <c r="B98" s="1"/>
      <c r="C98" s="1"/>
      <c r="D98" s="1"/>
      <c r="E98" s="1"/>
      <c r="F98" s="1"/>
      <c r="G98" s="1"/>
      <c r="H98" s="54"/>
      <c r="I98" s="54"/>
      <c r="J98" s="54"/>
      <c r="K98" s="54"/>
      <c r="L98" s="54"/>
      <c r="M98" s="1329">
        <v>6</v>
      </c>
      <c r="N98" s="54"/>
      <c r="O98" s="54"/>
      <c r="P98" s="54"/>
      <c r="Q98" s="54"/>
      <c r="R98" s="54"/>
      <c r="S98" s="54"/>
      <c r="T98" s="1329">
        <v>6</v>
      </c>
      <c r="U98" s="54"/>
      <c r="V98" s="54"/>
      <c r="W98" s="54"/>
      <c r="X98" s="54"/>
      <c r="Y98" s="3481"/>
      <c r="Z98" s="54"/>
      <c r="AA98" s="54"/>
      <c r="AB98" s="54"/>
      <c r="AC98" s="54"/>
    </row>
    <row r="99" spans="1:35" ht="18.95" customHeight="1" thickBot="1">
      <c r="A99" s="54"/>
      <c r="B99" s="1390" t="s">
        <v>1571</v>
      </c>
      <c r="C99" s="2515" t="s">
        <v>1572</v>
      </c>
      <c r="D99" s="2515"/>
      <c r="E99" s="2515"/>
      <c r="F99" s="2515"/>
      <c r="G99" s="2515"/>
      <c r="H99" s="54"/>
      <c r="I99" s="54"/>
      <c r="J99" s="54"/>
      <c r="K99" s="54"/>
      <c r="L99" s="54"/>
      <c r="M99" s="1329">
        <v>6</v>
      </c>
      <c r="N99" s="54"/>
      <c r="O99" s="54"/>
      <c r="P99" s="54"/>
      <c r="Q99" s="54"/>
      <c r="R99" s="54"/>
      <c r="S99" s="54"/>
      <c r="T99" s="1329">
        <v>6</v>
      </c>
      <c r="U99" s="54"/>
      <c r="V99" s="54"/>
      <c r="W99" s="54"/>
      <c r="X99" s="54"/>
      <c r="Y99" s="54"/>
      <c r="Z99" s="54"/>
      <c r="AA99" s="54"/>
      <c r="AB99" s="54"/>
      <c r="AC99" s="54"/>
    </row>
    <row r="100" spans="1:35" ht="18.95" customHeight="1">
      <c r="A100" s="54"/>
      <c r="B100" s="1"/>
      <c r="C100" s="1"/>
      <c r="D100" s="1"/>
      <c r="E100" s="1"/>
      <c r="F100" s="1"/>
      <c r="G100" s="1"/>
      <c r="H100" s="3500" t="s">
        <v>682</v>
      </c>
      <c r="I100" s="3501"/>
      <c r="J100" s="3501"/>
      <c r="K100" s="3501"/>
      <c r="L100" s="3501"/>
      <c r="M100" s="3501"/>
      <c r="N100" s="3502"/>
      <c r="O100" s="54"/>
      <c r="P100" s="54"/>
      <c r="Q100" s="3503" t="s">
        <v>687</v>
      </c>
      <c r="R100" s="3504"/>
      <c r="S100" s="3504"/>
      <c r="T100" s="3505" t="s">
        <v>685</v>
      </c>
      <c r="U100" s="3506"/>
      <c r="V100" s="54"/>
      <c r="W100" s="1357" t="s">
        <v>1487</v>
      </c>
      <c r="X100" s="54"/>
      <c r="Y100" s="3503" t="s">
        <v>737</v>
      </c>
      <c r="Z100" s="3504"/>
      <c r="AA100" s="3504"/>
      <c r="AB100" s="3504"/>
      <c r="AC100" s="3507"/>
    </row>
    <row r="101" spans="1:35" ht="18.95" customHeight="1">
      <c r="A101" s="54"/>
      <c r="B101" s="54"/>
      <c r="C101" s="54"/>
      <c r="D101" s="54"/>
      <c r="E101" s="54"/>
      <c r="F101" s="54"/>
      <c r="G101" s="54"/>
      <c r="H101" s="681"/>
      <c r="I101" s="1"/>
      <c r="J101" s="1"/>
      <c r="K101" s="1"/>
      <c r="L101" s="1"/>
      <c r="M101" s="1"/>
      <c r="N101" s="2"/>
      <c r="O101" s="54"/>
      <c r="P101" s="54"/>
      <c r="Q101" s="681"/>
      <c r="R101" s="1"/>
      <c r="S101" s="1"/>
      <c r="T101" s="44"/>
      <c r="U101" s="705"/>
      <c r="V101" s="54"/>
      <c r="W101" s="54"/>
      <c r="X101" s="54"/>
      <c r="Y101" s="3508" t="s">
        <v>713</v>
      </c>
      <c r="Z101" s="3509"/>
      <c r="AA101" s="3509"/>
      <c r="AB101" s="3509"/>
      <c r="AC101" s="3510"/>
      <c r="AI101" s="1141"/>
    </row>
    <row r="102" spans="1:35" ht="18.75" customHeight="1">
      <c r="A102" s="54"/>
      <c r="B102" s="54"/>
      <c r="C102" s="54"/>
      <c r="D102" s="54"/>
      <c r="E102" s="54"/>
      <c r="F102" s="54"/>
      <c r="G102" s="54"/>
      <c r="H102" s="739"/>
      <c r="I102" s="344"/>
      <c r="J102" s="344"/>
      <c r="K102" s="344"/>
      <c r="L102" s="344"/>
      <c r="M102" s="344"/>
      <c r="N102" s="345"/>
      <c r="O102" s="54"/>
      <c r="P102" s="54"/>
      <c r="Q102" s="706">
        <v>1000</v>
      </c>
      <c r="R102" s="3511" t="s">
        <v>694</v>
      </c>
      <c r="S102" s="3511"/>
      <c r="T102" s="746" t="s">
        <v>794</v>
      </c>
      <c r="U102" s="747" t="str">
        <f>LEFT(ADDRESS(1,COLUMN(T76),4),LEN(ADDRESS(1,COLUMN(T76),4))-1)</f>
        <v>T</v>
      </c>
      <c r="V102" s="54"/>
      <c r="W102" s="54"/>
      <c r="X102" s="54"/>
      <c r="Y102" s="3512" t="s">
        <v>720</v>
      </c>
      <c r="Z102" s="3513"/>
      <c r="AA102" s="3513"/>
      <c r="AB102" s="3513"/>
      <c r="AC102" s="3514"/>
      <c r="AI102" s="1141"/>
    </row>
    <row r="103" spans="1:35" ht="15.75" customHeight="1">
      <c r="A103" s="54"/>
      <c r="B103" s="54"/>
      <c r="C103" s="54"/>
      <c r="D103" s="54"/>
      <c r="E103" s="54"/>
      <c r="F103" s="54"/>
      <c r="G103" s="54"/>
      <c r="H103" s="739"/>
      <c r="I103" s="344"/>
      <c r="J103" s="344"/>
      <c r="K103" s="344"/>
      <c r="L103" s="344"/>
      <c r="M103" s="344"/>
      <c r="N103" s="345"/>
      <c r="O103" s="54"/>
      <c r="P103" s="54"/>
      <c r="Q103" s="681"/>
      <c r="R103" s="3511"/>
      <c r="S103" s="3511"/>
      <c r="T103" s="3515" t="s">
        <v>795</v>
      </c>
      <c r="U103" s="3516"/>
      <c r="V103" s="54"/>
      <c r="W103" s="54"/>
      <c r="X103" s="54"/>
      <c r="Y103" s="3512"/>
      <c r="Z103" s="3513"/>
      <c r="AA103" s="3513"/>
      <c r="AB103" s="3513"/>
      <c r="AC103" s="3514"/>
      <c r="AI103" s="1141"/>
    </row>
    <row r="104" spans="1:35" ht="15.75" customHeight="1">
      <c r="A104" s="54"/>
      <c r="B104" s="54"/>
      <c r="C104" s="54"/>
      <c r="D104" s="54"/>
      <c r="E104" s="54"/>
      <c r="F104" s="54"/>
      <c r="G104" s="54"/>
      <c r="H104" s="681"/>
      <c r="I104" s="1"/>
      <c r="J104" s="1"/>
      <c r="K104" s="1"/>
      <c r="L104" s="1"/>
      <c r="M104" s="344"/>
      <c r="N104" s="345"/>
      <c r="O104" s="54"/>
      <c r="P104" s="54"/>
      <c r="Q104" s="681"/>
      <c r="R104" s="1"/>
      <c r="S104" s="1"/>
      <c r="T104" s="3515"/>
      <c r="U104" s="3516"/>
      <c r="V104" s="54"/>
      <c r="W104" s="54"/>
      <c r="X104" s="54"/>
      <c r="Y104" s="3517" t="s">
        <v>714</v>
      </c>
      <c r="Z104" s="3518"/>
      <c r="AA104" s="3518"/>
      <c r="AB104" s="3518"/>
      <c r="AC104" s="3519"/>
    </row>
    <row r="105" spans="1:35" ht="15.75" customHeight="1">
      <c r="A105" s="54"/>
      <c r="B105" s="54"/>
      <c r="C105" s="54"/>
      <c r="D105" s="54"/>
      <c r="E105" s="54"/>
      <c r="F105" s="54"/>
      <c r="G105" s="54"/>
      <c r="H105" s="681"/>
      <c r="I105" s="1"/>
      <c r="J105" s="1"/>
      <c r="K105" s="1"/>
      <c r="L105" s="1"/>
      <c r="M105" s="344"/>
      <c r="N105" s="345"/>
      <c r="O105" s="54"/>
      <c r="P105" s="54"/>
      <c r="Q105" s="3484" t="s">
        <v>695</v>
      </c>
      <c r="R105" s="3485"/>
      <c r="S105" s="3485"/>
      <c r="T105" s="707" t="s">
        <v>686</v>
      </c>
      <c r="U105" s="2"/>
      <c r="V105" s="54"/>
      <c r="W105" s="54"/>
      <c r="X105" s="54"/>
      <c r="Y105" s="719" t="s">
        <v>707</v>
      </c>
      <c r="Z105" s="720"/>
      <c r="AA105" s="720"/>
      <c r="AB105" s="720"/>
      <c r="AC105" s="721"/>
    </row>
    <row r="106" spans="1:35" ht="15.75" customHeight="1">
      <c r="A106" s="54"/>
      <c r="B106" s="54"/>
      <c r="C106" s="54"/>
      <c r="D106" s="54"/>
      <c r="E106" s="54"/>
      <c r="F106" s="54"/>
      <c r="G106" s="54"/>
      <c r="H106" s="681"/>
      <c r="I106" s="1"/>
      <c r="J106" s="1"/>
      <c r="K106" s="1"/>
      <c r="L106" s="1"/>
      <c r="M106" s="344"/>
      <c r="N106" s="345"/>
      <c r="O106" s="54"/>
      <c r="P106" s="54"/>
      <c r="Q106" s="3484"/>
      <c r="R106" s="3485"/>
      <c r="S106" s="3485"/>
      <c r="T106" s="1"/>
      <c r="U106" s="2"/>
      <c r="V106" s="54"/>
      <c r="W106" s="54"/>
      <c r="X106" s="54"/>
      <c r="Y106" s="3486" t="s">
        <v>708</v>
      </c>
      <c r="Z106" s="3487"/>
      <c r="AA106" s="3487"/>
      <c r="AB106" s="3487"/>
      <c r="AC106" s="3488"/>
    </row>
    <row r="107" spans="1:35" ht="15.75" customHeight="1">
      <c r="A107" s="54"/>
      <c r="B107" s="54"/>
      <c r="C107" s="54"/>
      <c r="D107" s="54"/>
      <c r="E107" s="54"/>
      <c r="F107" s="54"/>
      <c r="G107" s="54"/>
      <c r="H107" s="681"/>
      <c r="I107" s="1"/>
      <c r="J107" s="1"/>
      <c r="K107" s="1"/>
      <c r="L107" s="1"/>
      <c r="M107" s="344"/>
      <c r="N107" s="345"/>
      <c r="O107" s="54"/>
      <c r="P107" s="54"/>
      <c r="Q107" s="3484"/>
      <c r="R107" s="3485"/>
      <c r="S107" s="3485"/>
      <c r="T107" s="708" t="s">
        <v>146</v>
      </c>
      <c r="U107" s="2"/>
      <c r="V107" s="54"/>
      <c r="W107" s="54"/>
      <c r="X107" s="54"/>
      <c r="Y107" s="3486"/>
      <c r="Z107" s="3487"/>
      <c r="AA107" s="3487"/>
      <c r="AB107" s="3487"/>
      <c r="AC107" s="3488"/>
    </row>
    <row r="108" spans="1:35" ht="15.75" customHeight="1">
      <c r="A108" s="54"/>
      <c r="B108" s="54"/>
      <c r="C108" s="54"/>
      <c r="D108" s="54"/>
      <c r="E108" s="54"/>
      <c r="F108" s="54"/>
      <c r="G108" s="54"/>
      <c r="H108" s="681"/>
      <c r="I108" s="1"/>
      <c r="J108" s="1"/>
      <c r="K108" s="1"/>
      <c r="L108" s="1"/>
      <c r="M108" s="344"/>
      <c r="N108" s="345"/>
      <c r="O108" s="54"/>
      <c r="P108" s="54"/>
      <c r="Q108" s="681"/>
      <c r="R108" s="1"/>
      <c r="S108" s="709"/>
      <c r="T108" s="708" t="s">
        <v>147</v>
      </c>
      <c r="U108" s="2"/>
      <c r="V108" s="54"/>
      <c r="W108" s="54"/>
      <c r="X108" s="54"/>
      <c r="Y108" s="3489" t="s">
        <v>704</v>
      </c>
      <c r="Z108" s="3490"/>
      <c r="AA108" s="3490"/>
      <c r="AB108" s="3490"/>
      <c r="AC108" s="3491"/>
    </row>
    <row r="109" spans="1:35" ht="15.75" customHeight="1">
      <c r="A109" s="54"/>
      <c r="B109" s="54"/>
      <c r="C109" s="54"/>
      <c r="D109" s="54"/>
      <c r="E109" s="54"/>
      <c r="F109" s="54"/>
      <c r="G109" s="54"/>
      <c r="H109" s="681"/>
      <c r="I109" s="1"/>
      <c r="J109" s="1"/>
      <c r="K109" s="1"/>
      <c r="L109" s="1"/>
      <c r="M109" s="344"/>
      <c r="N109" s="345"/>
      <c r="O109" s="54"/>
      <c r="P109" s="54"/>
      <c r="Q109" s="681"/>
      <c r="R109" s="1"/>
      <c r="S109" s="1"/>
      <c r="T109" s="1"/>
      <c r="U109" s="2"/>
      <c r="V109" s="54"/>
      <c r="W109" s="54"/>
      <c r="X109" s="54"/>
      <c r="Y109" s="3489"/>
      <c r="Z109" s="3490"/>
      <c r="AA109" s="3490"/>
      <c r="AB109" s="3490"/>
      <c r="AC109" s="3491"/>
    </row>
    <row r="110" spans="1:35" ht="19.5" customHeight="1">
      <c r="A110" s="54"/>
      <c r="B110" s="54"/>
      <c r="C110" s="54"/>
      <c r="D110" s="54"/>
      <c r="E110" s="54"/>
      <c r="F110" s="54"/>
      <c r="G110" s="54"/>
      <c r="H110" s="681"/>
      <c r="I110" s="1"/>
      <c r="J110" s="1"/>
      <c r="K110" s="1"/>
      <c r="L110" s="1"/>
      <c r="M110" s="3492" t="s">
        <v>683</v>
      </c>
      <c r="N110" s="3493"/>
      <c r="O110" s="54"/>
      <c r="P110" s="54"/>
      <c r="Q110" s="681"/>
      <c r="R110" s="1"/>
      <c r="S110" s="1"/>
      <c r="T110" s="3494" t="s">
        <v>693</v>
      </c>
      <c r="U110" s="3495"/>
      <c r="V110" s="54"/>
      <c r="W110" s="54"/>
      <c r="X110" s="54"/>
      <c r="Y110" s="3489"/>
      <c r="Z110" s="3490"/>
      <c r="AA110" s="3490"/>
      <c r="AB110" s="3490"/>
      <c r="AC110" s="3491"/>
    </row>
    <row r="111" spans="1:35" ht="18.75" customHeight="1">
      <c r="A111" s="54"/>
      <c r="B111" s="54"/>
      <c r="C111" s="54"/>
      <c r="D111" s="54"/>
      <c r="E111" s="54"/>
      <c r="F111" s="54"/>
      <c r="G111" s="54"/>
      <c r="H111" s="681"/>
      <c r="I111" s="1"/>
      <c r="J111" s="1"/>
      <c r="K111" s="1"/>
      <c r="L111" s="1"/>
      <c r="M111" s="745" t="s">
        <v>790</v>
      </c>
      <c r="N111" s="1472" t="str">
        <f>LEFT(ADDRESS(1,COLUMN(T76),4),LEN(ADDRESS(1,COLUMN(T76),4))-1)</f>
        <v>T</v>
      </c>
      <c r="O111" s="54"/>
      <c r="P111" s="54"/>
      <c r="Q111" s="681"/>
      <c r="R111" s="1"/>
      <c r="S111" s="1"/>
      <c r="T111" s="3494"/>
      <c r="U111" s="3495"/>
      <c r="V111" s="54"/>
      <c r="W111" s="54"/>
      <c r="X111" s="54"/>
      <c r="Y111" s="722" t="s">
        <v>709</v>
      </c>
      <c r="Z111" s="1"/>
      <c r="AA111" s="1"/>
      <c r="AB111" s="1"/>
      <c r="AC111" s="2"/>
    </row>
    <row r="112" spans="1:35" ht="15.75" customHeight="1">
      <c r="A112" s="54"/>
      <c r="B112" s="54"/>
      <c r="C112" s="54"/>
      <c r="D112" s="54"/>
      <c r="E112" s="54"/>
      <c r="F112" s="54"/>
      <c r="G112" s="54"/>
      <c r="H112" s="681"/>
      <c r="I112" s="1"/>
      <c r="J112" s="1"/>
      <c r="K112" s="1"/>
      <c r="L112" s="1"/>
      <c r="M112" s="3496" t="s">
        <v>789</v>
      </c>
      <c r="N112" s="3497"/>
      <c r="O112" s="54"/>
      <c r="P112" s="54"/>
      <c r="Q112" s="681"/>
      <c r="R112" s="1"/>
      <c r="S112" s="1"/>
      <c r="T112" s="3498" t="s">
        <v>688</v>
      </c>
      <c r="U112" s="3499"/>
      <c r="V112" s="54"/>
      <c r="W112" s="54"/>
      <c r="X112" s="54"/>
      <c r="Y112" s="681"/>
      <c r="Z112" s="1"/>
      <c r="AA112" s="1"/>
      <c r="AB112" s="1"/>
      <c r="AC112" s="2"/>
    </row>
    <row r="113" spans="1:33" ht="15.75" customHeight="1">
      <c r="A113" s="54"/>
      <c r="B113" s="54"/>
      <c r="C113" s="54"/>
      <c r="D113" s="54"/>
      <c r="E113" s="54"/>
      <c r="F113" s="54"/>
      <c r="G113" s="54"/>
      <c r="H113" s="681"/>
      <c r="I113" s="1"/>
      <c r="J113" s="1"/>
      <c r="K113" s="1"/>
      <c r="L113" s="1"/>
      <c r="M113" s="3525" t="s">
        <v>734</v>
      </c>
      <c r="N113" s="3526"/>
      <c r="O113" s="54"/>
      <c r="P113" s="54"/>
      <c r="Q113" s="681"/>
      <c r="R113" s="1"/>
      <c r="S113" s="1"/>
      <c r="T113" s="1"/>
      <c r="U113" s="2"/>
      <c r="V113" s="54"/>
      <c r="W113" s="54"/>
      <c r="X113" s="54"/>
      <c r="Y113" s="719" t="s">
        <v>710</v>
      </c>
      <c r="Z113" s="1"/>
      <c r="AA113" s="1"/>
      <c r="AB113" s="1"/>
      <c r="AC113" s="2"/>
    </row>
    <row r="114" spans="1:33">
      <c r="A114" s="54"/>
      <c r="B114" s="54"/>
      <c r="C114" s="54"/>
      <c r="D114" s="54"/>
      <c r="E114" s="54"/>
      <c r="F114" s="54"/>
      <c r="G114" s="54"/>
      <c r="H114" s="681"/>
      <c r="I114" s="1"/>
      <c r="J114" s="1"/>
      <c r="K114" s="1"/>
      <c r="L114" s="1"/>
      <c r="M114" s="3525"/>
      <c r="N114" s="3526"/>
      <c r="O114" s="54"/>
      <c r="P114" s="54"/>
      <c r="Q114" s="681"/>
      <c r="R114" s="1"/>
      <c r="S114" s="1"/>
      <c r="T114" s="3487" t="s">
        <v>689</v>
      </c>
      <c r="U114" s="3488"/>
      <c r="V114" s="54"/>
      <c r="W114" s="54"/>
      <c r="X114" s="54"/>
      <c r="Y114" s="3512" t="s">
        <v>711</v>
      </c>
      <c r="Z114" s="3513"/>
      <c r="AA114" s="3513"/>
      <c r="AB114" s="3513"/>
      <c r="AC114" s="3514"/>
    </row>
    <row r="115" spans="1:33" ht="15.75" customHeight="1" thickBot="1">
      <c r="A115" s="54"/>
      <c r="B115" s="54"/>
      <c r="C115" s="54"/>
      <c r="D115" s="54"/>
      <c r="E115" s="54"/>
      <c r="F115" s="54"/>
      <c r="G115" s="54"/>
      <c r="H115" s="711"/>
      <c r="I115" s="712"/>
      <c r="J115" s="712"/>
      <c r="K115" s="712"/>
      <c r="L115" s="712"/>
      <c r="M115" s="740"/>
      <c r="N115" s="714"/>
      <c r="O115" s="54"/>
      <c r="P115" s="54"/>
      <c r="Q115" s="681"/>
      <c r="R115" s="1"/>
      <c r="S115" s="1"/>
      <c r="T115" s="3487"/>
      <c r="U115" s="3488"/>
      <c r="V115" s="54"/>
      <c r="W115" s="54"/>
      <c r="X115" s="54"/>
      <c r="Y115" s="3512"/>
      <c r="Z115" s="3513"/>
      <c r="AA115" s="3513"/>
      <c r="AB115" s="3513"/>
      <c r="AC115" s="3514"/>
    </row>
    <row r="116" spans="1:33" ht="15" customHeight="1">
      <c r="A116" s="54"/>
      <c r="B116" s="54"/>
      <c r="C116" s="54"/>
      <c r="D116" s="54"/>
      <c r="E116" s="54"/>
      <c r="F116" s="54"/>
      <c r="G116" s="54"/>
      <c r="H116" s="54"/>
      <c r="I116" s="54"/>
      <c r="J116" s="54"/>
      <c r="K116" s="54"/>
      <c r="L116" s="54"/>
      <c r="M116" s="54"/>
      <c r="N116" s="54"/>
      <c r="O116" s="54"/>
      <c r="P116" s="54"/>
      <c r="Q116" s="681"/>
      <c r="R116" s="1"/>
      <c r="S116" s="710"/>
      <c r="T116" s="3487"/>
      <c r="U116" s="3488"/>
      <c r="V116" s="54"/>
      <c r="W116" s="54"/>
      <c r="X116" s="54"/>
      <c r="Y116" s="681"/>
      <c r="Z116" s="1"/>
      <c r="AA116" s="1"/>
      <c r="AB116" s="1"/>
      <c r="AC116" s="2"/>
    </row>
    <row r="117" spans="1:33" ht="15.75" customHeight="1">
      <c r="A117" s="54"/>
      <c r="B117" s="54"/>
      <c r="C117" s="54"/>
      <c r="D117" s="54"/>
      <c r="E117" s="54"/>
      <c r="F117" s="54"/>
      <c r="G117" s="54"/>
      <c r="H117" s="54"/>
      <c r="I117" s="54"/>
      <c r="J117" s="54"/>
      <c r="K117" s="54"/>
      <c r="L117" s="54"/>
      <c r="M117" s="54"/>
      <c r="N117" s="54"/>
      <c r="O117" s="54"/>
      <c r="P117" s="54"/>
      <c r="Q117" s="681"/>
      <c r="R117" s="1"/>
      <c r="S117" s="1"/>
      <c r="T117" s="3487"/>
      <c r="U117" s="3488"/>
      <c r="V117" s="54"/>
      <c r="W117" s="54"/>
      <c r="X117" s="54"/>
      <c r="Y117" s="3527" t="s">
        <v>706</v>
      </c>
      <c r="Z117" s="3515"/>
      <c r="AA117" s="3515"/>
      <c r="AB117" s="3515"/>
      <c r="AC117" s="3516"/>
    </row>
    <row r="118" spans="1:33" ht="15" customHeight="1" thickBot="1">
      <c r="A118" s="54"/>
      <c r="B118" s="54"/>
      <c r="C118" s="54"/>
      <c r="D118" s="54"/>
      <c r="E118" s="54"/>
      <c r="F118" s="54"/>
      <c r="G118" s="54"/>
      <c r="H118" s="54"/>
      <c r="I118" s="54"/>
      <c r="J118" s="54"/>
      <c r="K118" s="54"/>
      <c r="L118" s="54"/>
      <c r="M118" s="54"/>
      <c r="N118" s="54"/>
      <c r="O118" s="54"/>
      <c r="P118" s="54"/>
      <c r="Q118" s="681"/>
      <c r="R118" s="1"/>
      <c r="S118" s="1"/>
      <c r="T118" s="3528" t="s">
        <v>89</v>
      </c>
      <c r="U118" s="3529"/>
      <c r="V118" s="54"/>
      <c r="W118" s="54"/>
      <c r="X118" s="54"/>
      <c r="Y118" s="3527"/>
      <c r="Z118" s="3515"/>
      <c r="AA118" s="3515"/>
      <c r="AB118" s="3515"/>
      <c r="AC118" s="3516"/>
    </row>
    <row r="119" spans="1:33" ht="16.5" customHeight="1" thickBot="1">
      <c r="A119" s="54"/>
      <c r="B119" s="54"/>
      <c r="C119" s="54"/>
      <c r="D119" s="54"/>
      <c r="E119" s="54"/>
      <c r="F119" s="54"/>
      <c r="G119" s="54"/>
      <c r="H119" s="3500" t="s">
        <v>741</v>
      </c>
      <c r="I119" s="3501"/>
      <c r="J119" s="3501"/>
      <c r="K119" s="3501"/>
      <c r="L119" s="3501"/>
      <c r="M119" s="3501"/>
      <c r="N119" s="3502"/>
      <c r="O119" s="54"/>
      <c r="P119" s="54"/>
      <c r="Q119" s="711"/>
      <c r="R119" s="712"/>
      <c r="S119" s="712"/>
      <c r="T119" s="712"/>
      <c r="U119" s="713"/>
      <c r="V119" s="54"/>
      <c r="W119" s="54"/>
      <c r="X119" s="54"/>
      <c r="Y119" s="3530" t="s">
        <v>705</v>
      </c>
      <c r="Z119" s="3531"/>
      <c r="AA119" s="3531"/>
      <c r="AB119" s="3531"/>
      <c r="AC119" s="3532"/>
    </row>
    <row r="120" spans="1:33">
      <c r="A120" s="54"/>
      <c r="B120" s="54"/>
      <c r="C120" s="54"/>
      <c r="D120" s="54"/>
      <c r="E120" s="54"/>
      <c r="F120" s="54"/>
      <c r="G120" s="54"/>
      <c r="H120" s="681"/>
      <c r="I120" s="1"/>
      <c r="J120" s="1"/>
      <c r="K120" s="1"/>
      <c r="L120" s="1"/>
      <c r="M120" s="1"/>
      <c r="N120" s="2"/>
      <c r="O120" s="54"/>
      <c r="P120" s="54"/>
      <c r="Q120" s="54"/>
      <c r="R120" s="54"/>
      <c r="S120" s="54"/>
      <c r="T120" s="54"/>
      <c r="U120" s="54"/>
      <c r="V120" s="54"/>
      <c r="W120" s="54"/>
      <c r="X120" s="54"/>
      <c r="Y120" s="3530"/>
      <c r="Z120" s="3531"/>
      <c r="AA120" s="3531"/>
      <c r="AB120" s="3531"/>
      <c r="AC120" s="3532"/>
    </row>
    <row r="121" spans="1:33" ht="18.75" customHeight="1">
      <c r="A121" s="54"/>
      <c r="B121" s="54"/>
      <c r="C121" s="54"/>
      <c r="D121" s="54"/>
      <c r="E121" s="54"/>
      <c r="F121" s="54"/>
      <c r="G121" s="54"/>
      <c r="H121" s="732" t="s">
        <v>742</v>
      </c>
      <c r="I121" s="736" t="s">
        <v>744</v>
      </c>
      <c r="J121" s="737"/>
      <c r="K121" s="737"/>
      <c r="L121" s="737"/>
      <c r="M121" s="737"/>
      <c r="N121" s="2"/>
      <c r="O121" s="54"/>
      <c r="P121" s="54"/>
      <c r="Q121" s="54"/>
      <c r="R121" s="54"/>
      <c r="S121" s="54"/>
      <c r="T121" s="54"/>
      <c r="U121" s="54"/>
      <c r="V121" s="54"/>
      <c r="W121" s="54"/>
      <c r="X121" s="54"/>
      <c r="Y121" s="3512" t="s">
        <v>712</v>
      </c>
      <c r="Z121" s="3513"/>
      <c r="AA121" s="3513"/>
      <c r="AB121" s="3513"/>
      <c r="AC121" s="3514"/>
      <c r="AE121" s="1484"/>
      <c r="AF121" s="1484"/>
      <c r="AG121" s="1484"/>
    </row>
    <row r="122" spans="1:33" ht="15.75">
      <c r="A122" s="54"/>
      <c r="B122" s="54"/>
      <c r="C122" s="54"/>
      <c r="D122" s="54"/>
      <c r="E122" s="54"/>
      <c r="F122" s="54"/>
      <c r="G122" s="54"/>
      <c r="H122" s="681"/>
      <c r="I122" s="1"/>
      <c r="J122" s="1"/>
      <c r="K122" s="1"/>
      <c r="L122" s="1"/>
      <c r="M122" s="1"/>
      <c r="N122" s="2"/>
      <c r="O122" s="54"/>
      <c r="P122" s="54"/>
      <c r="Q122" s="54"/>
      <c r="R122" s="54"/>
      <c r="S122" s="54"/>
      <c r="T122" s="54"/>
      <c r="U122" s="54"/>
      <c r="V122" s="54"/>
      <c r="W122" s="54"/>
      <c r="X122" s="54"/>
      <c r="Y122" s="3512"/>
      <c r="Z122" s="3513"/>
      <c r="AA122" s="3513"/>
      <c r="AB122" s="3513"/>
      <c r="AC122" s="3514"/>
      <c r="AE122" s="1484"/>
      <c r="AF122" s="1484"/>
      <c r="AG122" s="1484"/>
    </row>
    <row r="123" spans="1:33" ht="20.25" customHeight="1">
      <c r="A123" s="54"/>
      <c r="B123" s="54"/>
      <c r="C123" s="54"/>
      <c r="D123" s="54"/>
      <c r="E123" s="54"/>
      <c r="F123" s="54"/>
      <c r="G123" s="54"/>
      <c r="H123" s="733" t="s">
        <v>743</v>
      </c>
      <c r="I123" s="738" t="s">
        <v>745</v>
      </c>
      <c r="J123" s="1"/>
      <c r="K123" s="1"/>
      <c r="L123" s="1"/>
      <c r="M123" s="1"/>
      <c r="N123" s="2"/>
      <c r="O123" s="54"/>
      <c r="P123" s="54"/>
      <c r="Q123" s="54"/>
      <c r="R123" s="54"/>
      <c r="S123" s="54"/>
      <c r="T123" s="54"/>
      <c r="U123" s="54"/>
      <c r="V123" s="54"/>
      <c r="W123" s="54"/>
      <c r="X123" s="54"/>
      <c r="Y123" s="3512"/>
      <c r="Z123" s="3513"/>
      <c r="AA123" s="3513"/>
      <c r="AB123" s="3513"/>
      <c r="AC123" s="3514"/>
      <c r="AE123" s="1484"/>
      <c r="AF123" s="1484"/>
      <c r="AG123" s="1484"/>
    </row>
    <row r="124" spans="1:33" ht="21" customHeight="1">
      <c r="A124" s="54"/>
      <c r="B124" s="54"/>
      <c r="C124" s="54"/>
      <c r="D124" s="54"/>
      <c r="E124" s="54"/>
      <c r="F124" s="54"/>
      <c r="G124" s="54"/>
      <c r="H124" s="734"/>
      <c r="I124" s="1"/>
      <c r="J124" s="707" t="s">
        <v>747</v>
      </c>
      <c r="K124" s="707"/>
      <c r="L124" s="1"/>
      <c r="M124" s="1"/>
      <c r="N124" s="2"/>
      <c r="O124" s="54"/>
      <c r="P124" s="54"/>
      <c r="Q124" s="54"/>
      <c r="R124" s="54"/>
      <c r="S124" s="54"/>
      <c r="T124" s="54"/>
      <c r="U124" s="54"/>
      <c r="V124" s="54"/>
      <c r="W124" s="54"/>
      <c r="X124" s="54"/>
      <c r="Y124" s="719" t="s">
        <v>715</v>
      </c>
      <c r="Z124" s="1"/>
      <c r="AA124" s="1"/>
      <c r="AB124" s="1"/>
      <c r="AC124" s="2"/>
      <c r="AE124" s="1"/>
      <c r="AF124" s="1"/>
      <c r="AG124" s="1"/>
    </row>
    <row r="125" spans="1:33" ht="15.75" customHeight="1">
      <c r="A125" s="54"/>
      <c r="B125" s="54"/>
      <c r="C125" s="54"/>
      <c r="D125" s="54"/>
      <c r="E125" s="54"/>
      <c r="F125" s="54"/>
      <c r="G125" s="54"/>
      <c r="H125" s="681"/>
      <c r="I125" s="1"/>
      <c r="J125" s="1"/>
      <c r="K125" s="1"/>
      <c r="L125" s="1"/>
      <c r="M125" s="1"/>
      <c r="N125" s="2"/>
      <c r="O125" s="54"/>
      <c r="P125" s="54"/>
      <c r="Q125" s="54"/>
      <c r="R125" s="54"/>
      <c r="S125" s="54"/>
      <c r="T125" s="54"/>
      <c r="U125" s="54"/>
      <c r="V125" s="54"/>
      <c r="W125" s="54"/>
      <c r="X125" s="54"/>
      <c r="Y125" s="3512" t="s">
        <v>716</v>
      </c>
      <c r="Z125" s="3513"/>
      <c r="AA125" s="3513"/>
      <c r="AB125" s="3513"/>
      <c r="AC125" s="3514"/>
      <c r="AE125" s="1484"/>
      <c r="AF125" s="1484"/>
      <c r="AG125" s="1484"/>
    </row>
    <row r="126" spans="1:33" ht="15" customHeight="1">
      <c r="A126" s="54"/>
      <c r="B126" s="54"/>
      <c r="C126" s="54"/>
      <c r="D126" s="54"/>
      <c r="E126" s="54"/>
      <c r="F126" s="54"/>
      <c r="G126" s="54"/>
      <c r="H126" s="735" t="s">
        <v>748</v>
      </c>
      <c r="I126" s="1"/>
      <c r="J126" s="1"/>
      <c r="K126" s="1"/>
      <c r="L126" s="1"/>
      <c r="M126" s="731" t="s">
        <v>749</v>
      </c>
      <c r="N126" s="2"/>
      <c r="O126" s="54"/>
      <c r="P126" s="54"/>
      <c r="Q126" s="54"/>
      <c r="R126" s="54"/>
      <c r="S126" s="54"/>
      <c r="T126" s="54"/>
      <c r="U126" s="54"/>
      <c r="V126" s="54"/>
      <c r="W126" s="54"/>
      <c r="X126" s="54"/>
      <c r="Y126" s="3512"/>
      <c r="Z126" s="3513"/>
      <c r="AA126" s="3513"/>
      <c r="AB126" s="3513"/>
      <c r="AC126" s="3514"/>
      <c r="AE126" s="1484"/>
      <c r="AF126" s="1484"/>
      <c r="AG126" s="1484"/>
    </row>
    <row r="127" spans="1:33" ht="15" customHeight="1">
      <c r="A127" s="54"/>
      <c r="B127" s="54"/>
      <c r="C127" s="54"/>
      <c r="D127" s="54"/>
      <c r="E127" s="54"/>
      <c r="F127" s="54"/>
      <c r="G127" s="54"/>
      <c r="H127" s="735" t="s">
        <v>746</v>
      </c>
      <c r="I127" s="1"/>
      <c r="J127" s="1"/>
      <c r="K127" s="1"/>
      <c r="L127" s="1"/>
      <c r="M127" s="731" t="s">
        <v>750</v>
      </c>
      <c r="N127" s="2"/>
      <c r="O127" s="54"/>
      <c r="P127" s="54"/>
      <c r="Q127" s="54"/>
      <c r="R127" s="54"/>
      <c r="S127" s="54"/>
      <c r="T127" s="54"/>
      <c r="U127" s="54"/>
      <c r="V127" s="54"/>
      <c r="W127" s="54"/>
      <c r="X127" s="54"/>
      <c r="Y127" s="3512"/>
      <c r="Z127" s="3513"/>
      <c r="AA127" s="3513"/>
      <c r="AB127" s="3513"/>
      <c r="AC127" s="3514"/>
      <c r="AE127" s="1484"/>
      <c r="AF127" s="1484"/>
      <c r="AG127" s="1484"/>
    </row>
    <row r="128" spans="1:33" ht="15" customHeight="1">
      <c r="A128" s="54"/>
      <c r="B128" s="54"/>
      <c r="C128" s="54"/>
      <c r="D128" s="54"/>
      <c r="E128" s="54"/>
      <c r="F128" s="54"/>
      <c r="G128" s="54"/>
      <c r="H128" s="681"/>
      <c r="I128" s="1"/>
      <c r="J128" s="1"/>
      <c r="K128" s="1"/>
      <c r="L128" s="1"/>
      <c r="M128" s="731" t="s">
        <v>751</v>
      </c>
      <c r="N128" s="2"/>
      <c r="O128" s="54"/>
      <c r="P128" s="54"/>
      <c r="Q128" s="54"/>
      <c r="R128" s="54"/>
      <c r="S128" s="54"/>
      <c r="T128" s="54"/>
      <c r="U128" s="54"/>
      <c r="V128" s="54"/>
      <c r="W128" s="54"/>
      <c r="X128" s="54"/>
      <c r="Y128" s="681"/>
      <c r="Z128" s="1"/>
      <c r="AA128" s="1"/>
      <c r="AB128" s="1"/>
      <c r="AC128" s="2"/>
      <c r="AE128" s="1"/>
      <c r="AF128" s="1"/>
      <c r="AG128" s="1"/>
    </row>
    <row r="129" spans="1:33" ht="15.75" customHeight="1">
      <c r="A129" s="54"/>
      <c r="B129" s="54"/>
      <c r="C129" s="54"/>
      <c r="D129" s="54"/>
      <c r="E129" s="54"/>
      <c r="F129" s="54"/>
      <c r="G129" s="54"/>
      <c r="H129" s="681"/>
      <c r="I129" s="1"/>
      <c r="J129" s="1"/>
      <c r="K129" s="1"/>
      <c r="L129" s="1"/>
      <c r="M129" s="731" t="s">
        <v>752</v>
      </c>
      <c r="N129" s="2"/>
      <c r="O129" s="54"/>
      <c r="P129" s="54"/>
      <c r="Q129" s="54"/>
      <c r="R129" s="54"/>
      <c r="S129" s="54"/>
      <c r="T129" s="54"/>
      <c r="U129" s="54"/>
      <c r="V129" s="54"/>
      <c r="W129" s="54"/>
      <c r="X129" s="54"/>
      <c r="Y129" s="3520" t="s">
        <v>717</v>
      </c>
      <c r="Z129" s="3521"/>
      <c r="AA129" s="3521"/>
      <c r="AB129" s="3521"/>
      <c r="AC129" s="3522"/>
      <c r="AE129" s="1486"/>
      <c r="AF129" s="1486"/>
      <c r="AG129" s="1486"/>
    </row>
    <row r="130" spans="1:33" ht="15" customHeight="1">
      <c r="A130" s="54"/>
      <c r="B130" s="54"/>
      <c r="C130" s="54"/>
      <c r="D130" s="54"/>
      <c r="E130" s="54"/>
      <c r="F130" s="54"/>
      <c r="G130" s="54"/>
      <c r="H130" s="681"/>
      <c r="I130" s="1"/>
      <c r="J130" s="1"/>
      <c r="K130" s="1"/>
      <c r="L130" s="1"/>
      <c r="M130" s="1"/>
      <c r="N130" s="2"/>
      <c r="O130" s="54"/>
      <c r="P130" s="54"/>
      <c r="Q130" s="54"/>
      <c r="R130" s="54"/>
      <c r="S130" s="54"/>
      <c r="T130" s="54"/>
      <c r="U130" s="54"/>
      <c r="V130" s="54"/>
      <c r="W130" s="54"/>
      <c r="X130" s="54"/>
      <c r="Y130" s="3520"/>
      <c r="Z130" s="3521"/>
      <c r="AA130" s="3521"/>
      <c r="AB130" s="3521"/>
      <c r="AC130" s="3522"/>
      <c r="AE130" s="1486"/>
      <c r="AF130" s="1486"/>
      <c r="AG130" s="1486"/>
    </row>
    <row r="131" spans="1:33" ht="15" customHeight="1">
      <c r="A131" s="54"/>
      <c r="B131" s="54"/>
      <c r="C131" s="54"/>
      <c r="D131" s="54"/>
      <c r="E131" s="54"/>
      <c r="F131" s="54"/>
      <c r="G131" s="54"/>
      <c r="H131" s="681"/>
      <c r="I131" s="1"/>
      <c r="J131" s="1"/>
      <c r="K131" s="1"/>
      <c r="L131" s="1"/>
      <c r="M131" s="1"/>
      <c r="N131" s="2"/>
      <c r="O131" s="54"/>
      <c r="P131" s="54"/>
      <c r="Q131" s="54"/>
      <c r="R131" s="54"/>
      <c r="S131" s="54"/>
      <c r="T131" s="54"/>
      <c r="U131" s="54"/>
      <c r="V131" s="54"/>
      <c r="W131" s="54"/>
      <c r="X131" s="54"/>
      <c r="Y131" s="681"/>
      <c r="Z131" s="1"/>
      <c r="AA131" s="1"/>
      <c r="AB131" s="1"/>
      <c r="AC131" s="2"/>
      <c r="AE131" s="1"/>
      <c r="AF131" s="1"/>
      <c r="AG131" s="1"/>
    </row>
    <row r="132" spans="1:33" ht="18" customHeight="1">
      <c r="A132" s="54"/>
      <c r="B132" s="54"/>
      <c r="C132" s="54"/>
      <c r="D132" s="54"/>
      <c r="E132" s="54"/>
      <c r="F132" s="54"/>
      <c r="G132" s="54"/>
      <c r="H132" s="681"/>
      <c r="I132" s="1"/>
      <c r="J132" s="1"/>
      <c r="K132" s="1"/>
      <c r="L132" s="1"/>
      <c r="M132" s="1"/>
      <c r="N132" s="2"/>
      <c r="O132" s="54"/>
      <c r="P132" s="54"/>
      <c r="Q132" s="54"/>
      <c r="R132" s="54"/>
      <c r="S132" s="54"/>
      <c r="T132" s="54"/>
      <c r="U132" s="54"/>
      <c r="V132" s="54"/>
      <c r="W132" s="54"/>
      <c r="X132" s="54"/>
      <c r="Y132" s="723" t="s">
        <v>719</v>
      </c>
      <c r="Z132" s="3523" t="s">
        <v>718</v>
      </c>
      <c r="AA132" s="3523"/>
      <c r="AB132" s="3523"/>
      <c r="AC132" s="3524"/>
      <c r="AE132" s="1485"/>
      <c r="AF132" s="1485"/>
      <c r="AG132" s="1485"/>
    </row>
    <row r="133" spans="1:33" ht="18" customHeight="1" thickBot="1">
      <c r="A133" s="54"/>
      <c r="B133" s="54"/>
      <c r="C133" s="54"/>
      <c r="D133" s="54"/>
      <c r="E133" s="54"/>
      <c r="F133" s="54"/>
      <c r="G133" s="54"/>
      <c r="H133" s="681"/>
      <c r="I133" s="1"/>
      <c r="J133" s="1"/>
      <c r="K133" s="1"/>
      <c r="L133" s="1"/>
      <c r="M133" s="1"/>
      <c r="N133" s="2"/>
      <c r="O133" s="54"/>
      <c r="P133" s="54"/>
      <c r="Q133" s="54"/>
      <c r="R133" s="54"/>
      <c r="S133" s="54"/>
      <c r="T133" s="54"/>
      <c r="U133" s="54"/>
      <c r="V133" s="54"/>
      <c r="W133" s="54"/>
      <c r="X133" s="54"/>
      <c r="Y133" s="711"/>
      <c r="Z133" s="712"/>
      <c r="AA133" s="712"/>
      <c r="AB133" s="712"/>
      <c r="AC133" s="713"/>
      <c r="AE133" s="1"/>
      <c r="AF133" s="1"/>
      <c r="AG133" s="1"/>
    </row>
    <row r="134" spans="1:33" ht="15.75" customHeight="1">
      <c r="A134" s="54"/>
      <c r="B134" s="54"/>
      <c r="C134" s="54"/>
      <c r="D134" s="54"/>
      <c r="E134" s="54"/>
      <c r="F134" s="54"/>
      <c r="G134" s="54"/>
      <c r="H134" s="681"/>
      <c r="I134" s="1"/>
      <c r="J134" s="1"/>
      <c r="K134" s="1"/>
      <c r="L134" s="1"/>
      <c r="M134" s="1"/>
      <c r="N134" s="2"/>
      <c r="O134" s="54"/>
      <c r="P134" s="54"/>
      <c r="Q134" s="54"/>
      <c r="R134" s="54"/>
      <c r="S134" s="54"/>
      <c r="T134" s="54"/>
      <c r="U134" s="54"/>
      <c r="V134" s="54"/>
      <c r="W134" s="54"/>
      <c r="X134" s="54"/>
      <c r="Y134" s="54"/>
      <c r="Z134" s="54"/>
      <c r="AA134" s="54"/>
      <c r="AB134" s="54"/>
      <c r="AC134" s="54"/>
    </row>
    <row r="135" spans="1:33" ht="15" customHeight="1">
      <c r="A135" s="54"/>
      <c r="B135" s="54"/>
      <c r="C135" s="54"/>
      <c r="D135" s="54"/>
      <c r="E135" s="54"/>
      <c r="F135" s="54"/>
      <c r="G135" s="54"/>
      <c r="H135" s="681"/>
      <c r="I135" s="1"/>
      <c r="J135" s="1"/>
      <c r="K135" s="1"/>
      <c r="L135" s="1"/>
      <c r="M135" s="1"/>
      <c r="N135" s="2"/>
      <c r="O135" s="54"/>
      <c r="P135" s="54"/>
      <c r="Q135" s="54"/>
      <c r="R135" s="54"/>
      <c r="S135" s="54"/>
      <c r="T135" s="1142"/>
      <c r="U135" s="54"/>
      <c r="V135" s="54"/>
      <c r="W135" s="54"/>
      <c r="X135" s="54"/>
      <c r="Y135" s="54"/>
      <c r="Z135" s="54"/>
      <c r="AA135" s="54"/>
      <c r="AB135" s="54"/>
      <c r="AC135" s="54"/>
    </row>
    <row r="136" spans="1:33" ht="15" customHeight="1">
      <c r="A136" s="54"/>
      <c r="B136" s="54"/>
      <c r="C136" s="54"/>
      <c r="D136" s="54"/>
      <c r="E136" s="54"/>
      <c r="F136" s="54"/>
      <c r="G136" s="54"/>
      <c r="H136" s="681"/>
      <c r="I136" s="1"/>
      <c r="J136" s="1"/>
      <c r="K136" s="1"/>
      <c r="L136" s="1"/>
      <c r="M136" s="1"/>
      <c r="N136" s="2"/>
      <c r="O136" s="54"/>
      <c r="P136" s="54"/>
      <c r="Q136" s="54"/>
      <c r="R136" s="54"/>
      <c r="S136" s="54"/>
      <c r="T136" s="1142"/>
      <c r="U136" s="54"/>
      <c r="V136" s="54"/>
      <c r="W136" s="54"/>
      <c r="X136" s="54"/>
      <c r="Y136" s="54"/>
      <c r="Z136" s="54"/>
      <c r="AA136" s="54"/>
      <c r="AB136" s="54"/>
      <c r="AC136" s="54"/>
    </row>
    <row r="137" spans="1:33" ht="15" customHeight="1">
      <c r="A137" s="54"/>
      <c r="B137" s="54"/>
      <c r="C137" s="54"/>
      <c r="D137" s="54"/>
      <c r="E137" s="54"/>
      <c r="F137" s="54"/>
      <c r="G137" s="54"/>
      <c r="H137" s="681"/>
      <c r="I137" s="1"/>
      <c r="J137" s="1"/>
      <c r="K137" s="1"/>
      <c r="L137" s="1"/>
      <c r="M137" s="1"/>
      <c r="N137" s="2"/>
      <c r="O137" s="54"/>
      <c r="P137" s="54"/>
      <c r="Q137" s="54"/>
      <c r="R137" s="54"/>
      <c r="S137" s="54"/>
      <c r="T137" s="1142"/>
      <c r="U137" s="54"/>
      <c r="V137" s="54"/>
      <c r="W137" s="54"/>
      <c r="X137" s="54"/>
      <c r="Y137" s="54"/>
      <c r="Z137" s="54"/>
      <c r="AA137" s="54"/>
      <c r="AB137" s="54"/>
      <c r="AC137" s="54"/>
    </row>
    <row r="138" spans="1:33" ht="15.75" customHeight="1">
      <c r="A138" s="54"/>
      <c r="B138" s="54"/>
      <c r="C138" s="54"/>
      <c r="D138" s="54"/>
      <c r="E138" s="54"/>
      <c r="F138" s="54"/>
      <c r="G138" s="54"/>
      <c r="H138" s="681"/>
      <c r="I138" s="1"/>
      <c r="J138" s="1"/>
      <c r="K138" s="1"/>
      <c r="L138" s="1"/>
      <c r="M138" s="1"/>
      <c r="N138" s="2"/>
      <c r="O138" s="54"/>
      <c r="P138" s="54"/>
      <c r="Q138" s="54"/>
      <c r="R138" s="54"/>
      <c r="S138" s="54"/>
      <c r="T138" s="54"/>
      <c r="U138" s="54"/>
      <c r="V138" s="54"/>
      <c r="W138" s="54"/>
      <c r="X138" s="54"/>
      <c r="Y138" s="54"/>
      <c r="Z138" s="54"/>
      <c r="AA138" s="54"/>
      <c r="AB138" s="54"/>
      <c r="AC138" s="54"/>
    </row>
    <row r="139" spans="1:33" ht="18.75" customHeight="1">
      <c r="A139" s="54"/>
      <c r="B139" s="54"/>
      <c r="C139" s="54"/>
      <c r="D139" s="54"/>
      <c r="E139" s="54"/>
      <c r="F139" s="54"/>
      <c r="G139" s="54"/>
      <c r="H139" s="681"/>
      <c r="I139" s="1"/>
      <c r="J139" s="1"/>
      <c r="K139" s="1"/>
      <c r="L139" s="1"/>
      <c r="M139" s="1"/>
      <c r="N139" s="2"/>
      <c r="O139" s="54"/>
      <c r="P139" s="54"/>
      <c r="Q139" s="54"/>
      <c r="R139" s="54"/>
      <c r="S139" s="1143"/>
      <c r="T139" s="54"/>
      <c r="U139" s="54"/>
      <c r="V139" s="54"/>
      <c r="W139" s="54"/>
      <c r="X139" s="54"/>
      <c r="Y139" s="54"/>
      <c r="Z139" s="54"/>
      <c r="AA139" s="54"/>
      <c r="AB139" s="54"/>
      <c r="AC139" s="54"/>
    </row>
    <row r="140" spans="1:33" ht="15" customHeight="1">
      <c r="A140" s="54"/>
      <c r="B140" s="54"/>
      <c r="C140" s="54"/>
      <c r="D140" s="54"/>
      <c r="E140" s="54"/>
      <c r="F140" s="54"/>
      <c r="G140" s="54"/>
      <c r="H140" s="681"/>
      <c r="I140" s="1"/>
      <c r="J140" s="1"/>
      <c r="K140" s="1"/>
      <c r="L140" s="1"/>
      <c r="M140" s="1"/>
      <c r="N140" s="2"/>
      <c r="O140" s="54"/>
      <c r="P140" s="54"/>
      <c r="Q140" s="54"/>
      <c r="R140" s="54"/>
      <c r="S140" s="54"/>
      <c r="T140" s="54"/>
      <c r="U140" s="54"/>
      <c r="V140" s="54"/>
      <c r="W140" s="54"/>
      <c r="X140" s="54"/>
      <c r="Y140" s="54"/>
      <c r="Z140" s="54"/>
      <c r="AA140" s="54"/>
      <c r="AB140" s="54"/>
      <c r="AC140" s="54"/>
    </row>
    <row r="141" spans="1:33" ht="15" customHeight="1">
      <c r="A141" s="54"/>
      <c r="B141" s="54"/>
      <c r="C141" s="54"/>
      <c r="D141" s="54"/>
      <c r="E141" s="54"/>
      <c r="F141" s="54"/>
      <c r="G141" s="54"/>
      <c r="H141" s="681"/>
      <c r="I141" s="1"/>
      <c r="J141" s="1"/>
      <c r="K141" s="1"/>
      <c r="L141" s="1"/>
      <c r="M141" s="1"/>
      <c r="N141" s="2"/>
      <c r="O141" s="54"/>
      <c r="P141" s="54"/>
      <c r="Q141" s="54"/>
      <c r="R141" s="54"/>
      <c r="S141" s="54"/>
      <c r="T141" s="54"/>
      <c r="U141" s="54"/>
      <c r="V141" s="54"/>
      <c r="W141" s="54"/>
      <c r="X141" s="54"/>
      <c r="Y141" s="54"/>
      <c r="Z141" s="54"/>
      <c r="AA141" s="54"/>
      <c r="AB141" s="54"/>
      <c r="AC141" s="54"/>
    </row>
    <row r="142" spans="1:33" ht="15.75" customHeight="1">
      <c r="A142" s="54"/>
      <c r="B142" s="54"/>
      <c r="C142" s="54"/>
      <c r="D142" s="54"/>
      <c r="E142" s="54"/>
      <c r="F142" s="54"/>
      <c r="G142" s="54"/>
      <c r="H142" s="681"/>
      <c r="I142" s="1"/>
      <c r="J142" s="1"/>
      <c r="K142" s="1"/>
      <c r="L142" s="1"/>
      <c r="M142" s="1"/>
      <c r="N142" s="2"/>
      <c r="O142" s="54"/>
      <c r="P142" s="54"/>
      <c r="Q142" s="54"/>
      <c r="R142" s="54"/>
      <c r="S142" s="54"/>
      <c r="T142" s="54"/>
      <c r="U142" s="54"/>
      <c r="V142" s="54"/>
      <c r="W142" s="54"/>
      <c r="X142" s="54"/>
      <c r="Y142" s="54"/>
      <c r="Z142" s="54"/>
      <c r="AA142" s="54"/>
      <c r="AB142" s="54"/>
      <c r="AC142" s="54"/>
    </row>
    <row r="143" spans="1:33" ht="15" customHeight="1">
      <c r="A143" s="54"/>
      <c r="B143" s="54"/>
      <c r="C143" s="54"/>
      <c r="D143" s="54"/>
      <c r="E143" s="54"/>
      <c r="F143" s="54"/>
      <c r="G143" s="54"/>
      <c r="H143" s="681"/>
      <c r="I143" s="1"/>
      <c r="J143" s="1"/>
      <c r="K143" s="1"/>
      <c r="L143" s="1"/>
      <c r="M143" s="1"/>
      <c r="N143" s="2"/>
      <c r="O143" s="54"/>
      <c r="P143" s="54"/>
      <c r="Q143" s="54"/>
      <c r="R143" s="54"/>
      <c r="S143" s="54"/>
      <c r="T143" s="54"/>
      <c r="U143" s="54"/>
      <c r="V143" s="54"/>
      <c r="W143" s="54"/>
      <c r="X143" s="54"/>
      <c r="Y143" s="54"/>
      <c r="Z143" s="54"/>
      <c r="AA143" s="54"/>
      <c r="AB143" s="54"/>
      <c r="AC143" s="54"/>
    </row>
    <row r="144" spans="1:33" ht="15.75" customHeight="1">
      <c r="A144" s="54"/>
      <c r="B144" s="54"/>
      <c r="C144" s="54"/>
      <c r="D144" s="54"/>
      <c r="E144" s="54"/>
      <c r="F144" s="54"/>
      <c r="G144" s="54"/>
      <c r="H144" s="681"/>
      <c r="I144" s="1"/>
      <c r="J144" s="1"/>
      <c r="K144" s="1"/>
      <c r="L144" s="1"/>
      <c r="M144" s="1"/>
      <c r="N144" s="2"/>
      <c r="O144" s="54"/>
      <c r="P144" s="54"/>
      <c r="Q144" s="54"/>
      <c r="R144" s="54"/>
      <c r="S144" s="54"/>
      <c r="T144" s="54"/>
      <c r="U144" s="54"/>
      <c r="V144" s="54"/>
      <c r="W144" s="54"/>
      <c r="X144" s="54"/>
      <c r="Y144" s="54"/>
      <c r="Z144" s="54"/>
      <c r="AA144" s="54"/>
      <c r="AB144" s="54"/>
      <c r="AC144" s="54"/>
    </row>
    <row r="145" spans="1:48" ht="21">
      <c r="A145" s="54"/>
      <c r="B145" s="54"/>
      <c r="C145" s="54"/>
      <c r="D145" s="54"/>
      <c r="E145" s="54"/>
      <c r="F145" s="54"/>
      <c r="G145" s="54"/>
      <c r="H145" s="681"/>
      <c r="I145" s="1"/>
      <c r="J145" s="731"/>
      <c r="K145" s="1"/>
      <c r="L145" s="742" t="s">
        <v>754</v>
      </c>
      <c r="M145" s="1"/>
      <c r="N145" s="2"/>
      <c r="O145" s="54"/>
      <c r="P145" s="54"/>
      <c r="Q145" s="54"/>
      <c r="R145" s="54"/>
      <c r="S145" s="54"/>
      <c r="T145" s="54"/>
      <c r="U145" s="54"/>
      <c r="V145" s="54"/>
      <c r="W145" s="54"/>
      <c r="X145" s="54"/>
      <c r="Y145" s="54"/>
      <c r="Z145" s="54"/>
      <c r="AA145" s="54"/>
      <c r="AB145" s="54"/>
      <c r="AC145" s="54"/>
    </row>
    <row r="146" spans="1:48">
      <c r="A146" s="54"/>
      <c r="B146" s="54"/>
      <c r="C146" s="54"/>
      <c r="D146" s="54"/>
      <c r="E146" s="54"/>
      <c r="F146" s="54"/>
      <c r="G146" s="54"/>
      <c r="H146" s="681"/>
      <c r="I146" s="1"/>
      <c r="J146" s="1"/>
      <c r="K146" s="1"/>
      <c r="L146" s="1"/>
      <c r="M146" s="1" t="s">
        <v>756</v>
      </c>
      <c r="N146" s="2"/>
      <c r="O146" s="54"/>
      <c r="P146" s="54"/>
      <c r="Q146" s="54"/>
      <c r="R146" s="54"/>
      <c r="S146" s="54"/>
      <c r="T146" s="54"/>
      <c r="U146" s="54"/>
      <c r="V146" s="54"/>
      <c r="W146" s="54"/>
      <c r="X146" s="54"/>
      <c r="Y146" s="54"/>
      <c r="Z146" s="54"/>
      <c r="AA146" s="54"/>
      <c r="AB146" s="54"/>
      <c r="AC146" s="54"/>
    </row>
    <row r="147" spans="1:48">
      <c r="A147" s="54"/>
      <c r="B147" s="54"/>
      <c r="C147" s="54"/>
      <c r="D147" s="54"/>
      <c r="E147" s="54"/>
      <c r="F147" s="54"/>
      <c r="G147" s="54"/>
      <c r="H147" s="681"/>
      <c r="I147" s="1"/>
      <c r="J147" s="1"/>
      <c r="K147" s="1"/>
      <c r="L147" s="743" t="s">
        <v>757</v>
      </c>
      <c r="M147" s="744">
        <f>AU76</f>
        <v>0</v>
      </c>
      <c r="N147" s="2"/>
      <c r="O147" s="54"/>
      <c r="P147" s="54"/>
      <c r="Q147" s="54"/>
      <c r="R147" s="54"/>
      <c r="S147" s="54"/>
      <c r="T147" s="54"/>
      <c r="U147" s="54"/>
      <c r="V147" s="54"/>
      <c r="W147" s="54"/>
      <c r="X147" s="54"/>
      <c r="Y147" s="54"/>
      <c r="Z147" s="54"/>
      <c r="AA147" s="54"/>
      <c r="AB147" s="54"/>
      <c r="AC147" s="54"/>
    </row>
    <row r="148" spans="1:48">
      <c r="A148" s="54"/>
      <c r="B148" s="54"/>
      <c r="C148" s="54"/>
      <c r="D148" s="54"/>
      <c r="E148" s="54"/>
      <c r="F148" s="54"/>
      <c r="G148" s="54"/>
      <c r="H148" s="681"/>
      <c r="I148" s="1"/>
      <c r="J148" s="1"/>
      <c r="K148" s="1"/>
      <c r="L148" s="1"/>
      <c r="M148" s="1"/>
      <c r="N148" s="2"/>
      <c r="O148" s="54"/>
      <c r="P148" s="54"/>
      <c r="Q148" s="54"/>
      <c r="R148" s="54"/>
      <c r="S148" s="54"/>
      <c r="T148" s="54"/>
      <c r="U148" s="54"/>
      <c r="V148" s="54"/>
      <c r="W148" s="54"/>
      <c r="X148" s="54"/>
      <c r="Y148" s="54"/>
      <c r="Z148" s="54"/>
      <c r="AA148" s="54"/>
      <c r="AB148" s="54"/>
      <c r="AC148" s="54"/>
    </row>
    <row r="149" spans="1:48" ht="15.75" thickBot="1">
      <c r="A149" s="54"/>
      <c r="B149" s="54"/>
      <c r="C149" s="54"/>
      <c r="D149" s="54"/>
      <c r="E149" s="54"/>
      <c r="F149" s="54"/>
      <c r="G149" s="54"/>
      <c r="H149" s="711"/>
      <c r="I149" s="712"/>
      <c r="J149" s="712"/>
      <c r="K149" s="712"/>
      <c r="L149" s="712"/>
      <c r="M149" s="712"/>
      <c r="N149" s="713"/>
      <c r="O149" s="54"/>
      <c r="P149" s="54"/>
      <c r="Q149" s="54"/>
      <c r="R149" s="54"/>
      <c r="S149" s="54"/>
      <c r="T149" s="54"/>
      <c r="U149" s="54"/>
      <c r="V149" s="54"/>
      <c r="W149" s="54"/>
      <c r="X149" s="54"/>
      <c r="Y149" s="54"/>
      <c r="Z149" s="54"/>
      <c r="AA149" s="54"/>
      <c r="AB149" s="54"/>
      <c r="AC149" s="54"/>
    </row>
    <row r="150" spans="1:48">
      <c r="A150" s="1091"/>
      <c r="B150" s="1091"/>
      <c r="C150" s="1091"/>
      <c r="D150" s="1091"/>
      <c r="E150" s="1091"/>
      <c r="F150" s="1091"/>
      <c r="G150" s="1091"/>
      <c r="H150" s="1091"/>
      <c r="I150" s="1091"/>
      <c r="J150" s="1091"/>
      <c r="K150" s="1091"/>
      <c r="L150" s="1091"/>
      <c r="M150" s="1091"/>
      <c r="N150" s="1091"/>
      <c r="O150" s="1091"/>
      <c r="P150" s="1091"/>
      <c r="Q150" s="1091"/>
      <c r="R150" s="1091"/>
      <c r="S150" s="1091"/>
      <c r="T150" s="1091"/>
      <c r="U150" s="1091"/>
      <c r="V150" s="1091"/>
      <c r="W150" s="1091"/>
      <c r="X150" s="1091"/>
      <c r="Y150" s="1091"/>
      <c r="Z150" s="1091"/>
      <c r="AA150" s="1091"/>
      <c r="AB150" s="1091"/>
      <c r="AC150" s="1091"/>
      <c r="AD150" s="1091"/>
      <c r="AE150" s="1091"/>
      <c r="AF150" s="1091"/>
      <c r="AG150" s="1091"/>
      <c r="AH150" s="1091"/>
      <c r="AI150" s="1091"/>
      <c r="AJ150" s="1091"/>
      <c r="AK150" s="1091"/>
      <c r="AL150" s="1091"/>
      <c r="AM150" s="1091"/>
      <c r="AN150" s="1091"/>
      <c r="AO150" s="1091"/>
      <c r="AP150" s="1091"/>
      <c r="AQ150" s="1091"/>
      <c r="AR150" s="1091"/>
      <c r="AS150" s="1091"/>
      <c r="AT150" s="1091"/>
      <c r="AU150" s="1091"/>
      <c r="AV150" s="1091"/>
    </row>
  </sheetData>
  <mergeCells count="123">
    <mergeCell ref="Y121:AC123"/>
    <mergeCell ref="Y125:AC127"/>
    <mergeCell ref="Y129:AC130"/>
    <mergeCell ref="Z132:AC132"/>
    <mergeCell ref="M113:N114"/>
    <mergeCell ref="T114:U117"/>
    <mergeCell ref="Y114:AC115"/>
    <mergeCell ref="Y117:AC118"/>
    <mergeCell ref="T118:U118"/>
    <mergeCell ref="H119:N119"/>
    <mergeCell ref="Y119:AC120"/>
    <mergeCell ref="Y108:AC110"/>
    <mergeCell ref="M110:N110"/>
    <mergeCell ref="T110:U111"/>
    <mergeCell ref="M112:N112"/>
    <mergeCell ref="T112:U112"/>
    <mergeCell ref="H100:N100"/>
    <mergeCell ref="Q100:S100"/>
    <mergeCell ref="T100:U100"/>
    <mergeCell ref="Y100:AC100"/>
    <mergeCell ref="Y101:AC101"/>
    <mergeCell ref="R102:S103"/>
    <mergeCell ref="Y102:AC103"/>
    <mergeCell ref="T103:U104"/>
    <mergeCell ref="Y104:AC104"/>
    <mergeCell ref="H92:H93"/>
    <mergeCell ref="H94:H95"/>
    <mergeCell ref="C97:G97"/>
    <mergeCell ref="Y97:Y98"/>
    <mergeCell ref="C99:G99"/>
    <mergeCell ref="Y80:Y83"/>
    <mergeCell ref="Z80:AC81"/>
    <mergeCell ref="AE81:AG82"/>
    <mergeCell ref="Q105:S107"/>
    <mergeCell ref="Y106:AC107"/>
    <mergeCell ref="AE77:AS77"/>
    <mergeCell ref="A78:A91"/>
    <mergeCell ref="I78:I90"/>
    <mergeCell ref="R78:U78"/>
    <mergeCell ref="V78:AC79"/>
    <mergeCell ref="AE78:AS79"/>
    <mergeCell ref="G79:H79"/>
    <mergeCell ref="M79:N79"/>
    <mergeCell ref="T79:U79"/>
    <mergeCell ref="B80:C80"/>
    <mergeCell ref="AH81:AK82"/>
    <mergeCell ref="AL81:AO82"/>
    <mergeCell ref="AP81:AS82"/>
    <mergeCell ref="Z82:AC82"/>
    <mergeCell ref="D80:D81"/>
    <mergeCell ref="J80:J81"/>
    <mergeCell ref="K80:L81"/>
    <mergeCell ref="M80:M81"/>
    <mergeCell ref="N80:N81"/>
    <mergeCell ref="V80:X82"/>
    <mergeCell ref="N82:N83"/>
    <mergeCell ref="E83:E84"/>
    <mergeCell ref="V83:X83"/>
    <mergeCell ref="Q91:Q92"/>
    <mergeCell ref="B72:H74"/>
    <mergeCell ref="J72:O74"/>
    <mergeCell ref="B76:O76"/>
    <mergeCell ref="Q76:U76"/>
    <mergeCell ref="V76:AC76"/>
    <mergeCell ref="B77:G77"/>
    <mergeCell ref="J77:M77"/>
    <mergeCell ref="R77:T77"/>
    <mergeCell ref="J59:M59"/>
    <mergeCell ref="J60:N61"/>
    <mergeCell ref="J62:N62"/>
    <mergeCell ref="K63:L63"/>
    <mergeCell ref="J64:N66"/>
    <mergeCell ref="B70:O70"/>
    <mergeCell ref="B51:F54"/>
    <mergeCell ref="J54:M54"/>
    <mergeCell ref="B55:F55"/>
    <mergeCell ref="J56:M56"/>
    <mergeCell ref="J57:M57"/>
    <mergeCell ref="J58:M58"/>
    <mergeCell ref="J47:M48"/>
    <mergeCell ref="N47:N48"/>
    <mergeCell ref="B49:F49"/>
    <mergeCell ref="J49:J50"/>
    <mergeCell ref="K49:L50"/>
    <mergeCell ref="M49:M50"/>
    <mergeCell ref="N49:N50"/>
    <mergeCell ref="B50:F50"/>
    <mergeCell ref="B37:E37"/>
    <mergeCell ref="J41:M42"/>
    <mergeCell ref="N41:N42"/>
    <mergeCell ref="B42:F45"/>
    <mergeCell ref="J44:M44"/>
    <mergeCell ref="N44:N46"/>
    <mergeCell ref="J45:M46"/>
    <mergeCell ref="J22:N23"/>
    <mergeCell ref="B23:F25"/>
    <mergeCell ref="J25:M25"/>
    <mergeCell ref="N25:N26"/>
    <mergeCell ref="B27:E27"/>
    <mergeCell ref="B32:F35"/>
    <mergeCell ref="B16:F16"/>
    <mergeCell ref="B18:E18"/>
    <mergeCell ref="K18:M18"/>
    <mergeCell ref="J19:J20"/>
    <mergeCell ref="K19:M20"/>
    <mergeCell ref="N19:N20"/>
    <mergeCell ref="B11:D12"/>
    <mergeCell ref="E11:E12"/>
    <mergeCell ref="G11:G12"/>
    <mergeCell ref="J11:M11"/>
    <mergeCell ref="B13:D14"/>
    <mergeCell ref="E13:E14"/>
    <mergeCell ref="J13:M15"/>
    <mergeCell ref="B3:F3"/>
    <mergeCell ref="K3:N4"/>
    <mergeCell ref="B4:F4"/>
    <mergeCell ref="J5:N6"/>
    <mergeCell ref="B6:C9"/>
    <mergeCell ref="D6:D9"/>
    <mergeCell ref="E6:E9"/>
    <mergeCell ref="J7:N8"/>
    <mergeCell ref="G9:G10"/>
    <mergeCell ref="J9:N9"/>
  </mergeCells>
  <hyperlinks>
    <hyperlink ref="T139:AI139" r:id="rId1" display="Les unités pifométriques"/>
    <hyperlink ref="T118" r:id="rId2"/>
    <hyperlink ref="T112" r:id="rId3"/>
    <hyperlink ref="Z132" r:id="rId4"/>
    <hyperlink ref="C97" r:id="rId5"/>
    <hyperlink ref="C99:G99" r:id="rId6" display="Visuellement, ça représente quoi 100 calories ?"/>
  </hyperlinks>
  <printOptions horizontalCentered="1"/>
  <pageMargins left="3.937007874015748E-2" right="3.937007874015748E-2" top="0.15748031496062992" bottom="0.15748031496062992" header="0.11811023622047245" footer="0.11811023622047245"/>
  <pageSetup paperSize="9" scale="56" orientation="landscape" r:id="rId7"/>
  <drawing r:id="rId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51"/>
  <sheetViews>
    <sheetView showZeros="0" zoomScaleNormal="100" workbookViewId="0">
      <selection activeCell="O10" sqref="O10"/>
    </sheetView>
  </sheetViews>
  <sheetFormatPr baseColWidth="10" defaultRowHeight="15"/>
  <cols>
    <col min="1" max="1" width="2" customWidth="1"/>
    <col min="2" max="2" width="8.7109375" customWidth="1"/>
    <col min="3" max="3" width="10.7109375" customWidth="1"/>
    <col min="4" max="4" width="16.7109375" customWidth="1"/>
    <col min="5" max="5" width="7.28515625" customWidth="1"/>
    <col min="6" max="6" width="16.7109375" customWidth="1"/>
    <col min="7" max="7" width="60.7109375" customWidth="1"/>
    <col min="8" max="8" width="12.7109375" customWidth="1"/>
    <col min="9" max="9" width="2.28515625" customWidth="1"/>
    <col min="10" max="10" width="8.7109375" customWidth="1"/>
    <col min="11" max="11" width="10.7109375" customWidth="1"/>
    <col min="12" max="12" width="16.7109375" customWidth="1"/>
    <col min="13" max="13" width="7.28515625" customWidth="1"/>
    <col min="14" max="14" width="16.7109375" customWidth="1"/>
    <col min="15" max="15" width="60.7109375" customWidth="1"/>
    <col min="16" max="16" width="12.7109375" customWidth="1"/>
    <col min="17" max="17" width="2.28515625" customWidth="1"/>
    <col min="18" max="18" width="20.140625" customWidth="1"/>
    <col min="19" max="19" width="8.7109375" customWidth="1"/>
    <col min="20" max="20" width="10.7109375" customWidth="1"/>
    <col min="21" max="21" width="16.7109375" customWidth="1"/>
    <col min="22" max="22" width="60.7109375" customWidth="1"/>
    <col min="23" max="31" width="12.7109375" customWidth="1"/>
    <col min="33" max="47" width="12.7109375" customWidth="1"/>
    <col min="49" max="49" width="64.5703125" customWidth="1"/>
  </cols>
  <sheetData>
    <row r="1" spans="1:90" s="1340" customFormat="1" ht="18.95" customHeight="1">
      <c r="A1" s="1338">
        <v>1.57</v>
      </c>
      <c r="B1" s="1337">
        <v>8</v>
      </c>
      <c r="C1" s="1337">
        <v>10</v>
      </c>
      <c r="D1" s="1337">
        <v>16</v>
      </c>
      <c r="E1" s="1337">
        <v>6.57</v>
      </c>
      <c r="F1" s="1337">
        <v>16</v>
      </c>
      <c r="G1" s="1337">
        <v>60</v>
      </c>
      <c r="H1" s="1337">
        <v>12</v>
      </c>
      <c r="I1" s="1338">
        <v>1.57</v>
      </c>
      <c r="J1" s="1337">
        <v>8</v>
      </c>
      <c r="K1" s="1337">
        <v>10</v>
      </c>
      <c r="L1" s="1337">
        <v>16</v>
      </c>
      <c r="M1" s="1337">
        <v>6.57</v>
      </c>
      <c r="N1" s="1337">
        <v>16</v>
      </c>
      <c r="O1" s="1337">
        <v>60</v>
      </c>
      <c r="P1" s="1337">
        <v>12</v>
      </c>
      <c r="Q1" s="1338">
        <v>1.57</v>
      </c>
      <c r="R1" s="1339" t="s">
        <v>740</v>
      </c>
      <c r="S1" s="1337">
        <v>8</v>
      </c>
      <c r="T1" s="1337">
        <v>10</v>
      </c>
      <c r="U1" s="1337">
        <v>16</v>
      </c>
      <c r="V1" s="1337">
        <v>60</v>
      </c>
      <c r="W1" s="1337">
        <v>12</v>
      </c>
      <c r="X1" s="1337">
        <v>12</v>
      </c>
      <c r="Y1" s="1337">
        <v>12</v>
      </c>
      <c r="Z1" s="1337">
        <v>12</v>
      </c>
      <c r="AA1" s="1337">
        <v>12</v>
      </c>
      <c r="AB1" s="1337">
        <v>12</v>
      </c>
      <c r="AC1" s="1337">
        <v>12</v>
      </c>
      <c r="AD1" s="1337">
        <v>12</v>
      </c>
      <c r="AE1" s="1337">
        <v>12</v>
      </c>
      <c r="AF1" s="1606"/>
      <c r="AG1" s="1337">
        <v>12</v>
      </c>
      <c r="AH1" s="1337">
        <v>12</v>
      </c>
      <c r="AI1" s="1337">
        <v>12</v>
      </c>
      <c r="AJ1" s="1337">
        <v>12</v>
      </c>
      <c r="AK1" s="1337">
        <v>12</v>
      </c>
      <c r="AL1" s="1337">
        <v>12</v>
      </c>
      <c r="AM1" s="1337">
        <v>12</v>
      </c>
      <c r="AN1" s="1337">
        <v>12</v>
      </c>
      <c r="AO1" s="1337">
        <v>12</v>
      </c>
      <c r="AP1" s="1337">
        <v>12</v>
      </c>
      <c r="AQ1" s="1337">
        <v>12</v>
      </c>
      <c r="AR1" s="1337">
        <v>12</v>
      </c>
      <c r="AS1" s="1337">
        <v>12</v>
      </c>
      <c r="AT1" s="1337">
        <v>12</v>
      </c>
      <c r="AU1" s="1337">
        <v>12</v>
      </c>
      <c r="AV1" s="1339" t="s">
        <v>740</v>
      </c>
      <c r="AW1" s="52"/>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row>
    <row r="2" spans="1:90" ht="83.25" customHeight="1">
      <c r="B2" s="2475" t="s">
        <v>2202</v>
      </c>
      <c r="C2" s="2476"/>
      <c r="D2" s="2476"/>
      <c r="E2" s="2476"/>
      <c r="F2" s="2476"/>
      <c r="G2" s="2476"/>
      <c r="H2" s="2476"/>
      <c r="I2" s="2476"/>
      <c r="J2" s="2476"/>
      <c r="K2" s="2476"/>
      <c r="L2" s="2476"/>
      <c r="M2" s="2476"/>
      <c r="N2" s="2476"/>
      <c r="O2" s="2476"/>
      <c r="P2" s="2476"/>
      <c r="Q2" s="2476"/>
      <c r="S2" s="1342"/>
      <c r="T2" s="1342"/>
      <c r="U2" s="1342"/>
      <c r="V2" s="1342"/>
      <c r="W2" s="1342"/>
      <c r="X2" s="1342"/>
      <c r="Y2" s="1342"/>
      <c r="Z2" s="1342"/>
      <c r="AA2" s="1342"/>
      <c r="AB2" s="1342"/>
      <c r="AC2" s="1342"/>
      <c r="AD2" s="1342"/>
      <c r="AE2" s="1342"/>
      <c r="AF2" s="1342"/>
      <c r="AG2" s="1342"/>
      <c r="AI2" s="1027"/>
      <c r="AJ2" s="1027"/>
      <c r="AK2" s="1027"/>
      <c r="AL2" s="1027"/>
      <c r="AM2" s="1027"/>
      <c r="AN2" s="1027"/>
      <c r="AO2" s="1027"/>
      <c r="AP2" s="1027"/>
      <c r="AQ2" s="1027"/>
      <c r="AR2" s="1027"/>
      <c r="AS2" s="1027"/>
      <c r="AT2" s="1027"/>
      <c r="AU2" s="1027"/>
      <c r="AV2" s="1027"/>
      <c r="AW2" s="1027"/>
      <c r="AY2" s="1907" t="s">
        <v>1597</v>
      </c>
      <c r="AZ2" s="1908">
        <f>ROW()</f>
        <v>2</v>
      </c>
    </row>
    <row r="3" spans="1:90" ht="24.75" customHeight="1">
      <c r="A3" s="54"/>
      <c r="B3" s="54"/>
      <c r="C3" s="1613"/>
      <c r="D3" s="1613"/>
      <c r="E3" s="1613"/>
      <c r="F3" s="1613"/>
      <c r="G3" s="1613"/>
      <c r="H3" s="54"/>
      <c r="I3" s="54"/>
      <c r="J3" s="54"/>
      <c r="K3" s="54"/>
      <c r="L3" s="54"/>
      <c r="M3" s="54"/>
      <c r="N3" s="54"/>
      <c r="O3" s="54"/>
    </row>
    <row r="4" spans="1:90" ht="21">
      <c r="A4" s="54"/>
      <c r="B4" s="54"/>
      <c r="C4" s="1"/>
      <c r="D4" s="15" t="s">
        <v>1754</v>
      </c>
      <c r="E4" s="15"/>
      <c r="F4" s="1614"/>
      <c r="G4" s="1"/>
      <c r="H4" s="54"/>
      <c r="I4" s="54"/>
      <c r="J4" s="2492" t="s">
        <v>1772</v>
      </c>
      <c r="K4" s="2492"/>
      <c r="L4" s="2492"/>
      <c r="M4" s="2492"/>
      <c r="N4" s="2492"/>
      <c r="O4" s="54"/>
    </row>
    <row r="5" spans="1:90" ht="23.25">
      <c r="A5" s="54"/>
      <c r="B5" s="54"/>
      <c r="C5" s="1"/>
      <c r="D5" s="1554" t="s">
        <v>1752</v>
      </c>
      <c r="E5" s="15"/>
      <c r="F5" s="1"/>
      <c r="G5" s="1"/>
      <c r="H5" s="54"/>
      <c r="I5" s="54"/>
      <c r="J5" s="2492" t="s">
        <v>1773</v>
      </c>
      <c r="K5" s="2492"/>
      <c r="L5" s="2492"/>
      <c r="M5" s="2492"/>
      <c r="N5" s="2492"/>
      <c r="O5" s="1"/>
      <c r="P5" s="344"/>
      <c r="Q5" s="344"/>
      <c r="R5" s="344"/>
    </row>
    <row r="6" spans="1:90" ht="21.75" thickBot="1">
      <c r="A6" s="54"/>
      <c r="B6" s="54"/>
      <c r="C6" s="1"/>
      <c r="D6" s="15" t="s">
        <v>1750</v>
      </c>
      <c r="E6" s="15"/>
      <c r="F6" s="1"/>
      <c r="G6" s="1"/>
      <c r="H6" s="54"/>
      <c r="I6" s="54"/>
      <c r="J6" s="1612"/>
      <c r="K6" s="1612"/>
      <c r="L6" s="1612"/>
      <c r="M6" s="1612"/>
      <c r="N6" s="1612"/>
      <c r="O6" s="1"/>
      <c r="P6" s="344"/>
      <c r="Q6" s="344"/>
      <c r="R6" s="344"/>
    </row>
    <row r="7" spans="1:90" ht="21" customHeight="1">
      <c r="A7" s="54"/>
      <c r="B7" s="54"/>
      <c r="C7" s="1"/>
      <c r="D7" s="15"/>
      <c r="E7" s="15"/>
      <c r="F7" s="1"/>
      <c r="G7" s="1"/>
      <c r="H7" s="54"/>
      <c r="I7" s="54"/>
      <c r="J7" s="2493" t="s">
        <v>1774</v>
      </c>
      <c r="K7" s="2493"/>
      <c r="L7" s="2496" t="s">
        <v>1775</v>
      </c>
      <c r="M7" s="2499" t="s">
        <v>1776</v>
      </c>
      <c r="N7" s="2500"/>
    </row>
    <row r="8" spans="1:90" ht="21">
      <c r="A8" s="54"/>
      <c r="B8" s="54"/>
      <c r="C8" s="54"/>
      <c r="D8" s="15" t="s">
        <v>1747</v>
      </c>
      <c r="E8" s="1529"/>
      <c r="F8" s="54"/>
      <c r="G8" s="54"/>
      <c r="H8" s="54"/>
      <c r="I8" s="54"/>
      <c r="J8" s="2494"/>
      <c r="K8" s="2494"/>
      <c r="L8" s="2497"/>
      <c r="M8" s="2501"/>
      <c r="N8" s="2502"/>
      <c r="O8" s="54"/>
    </row>
    <row r="9" spans="1:90" ht="21">
      <c r="A9" s="54"/>
      <c r="B9" s="54"/>
      <c r="C9" s="54"/>
      <c r="D9" s="15" t="s">
        <v>1745</v>
      </c>
      <c r="E9" s="1529"/>
      <c r="F9" s="54"/>
      <c r="G9" s="54"/>
      <c r="H9" s="54"/>
      <c r="I9" s="54"/>
      <c r="J9" s="2494"/>
      <c r="K9" s="2494"/>
      <c r="L9" s="2497"/>
      <c r="M9" s="2501"/>
      <c r="N9" s="2502"/>
      <c r="O9" s="54"/>
    </row>
    <row r="10" spans="1:90" ht="21.75" thickBot="1">
      <c r="A10" s="54"/>
      <c r="B10" s="54"/>
      <c r="C10" s="54"/>
      <c r="D10" s="15" t="s">
        <v>1743</v>
      </c>
      <c r="E10" s="1529"/>
      <c r="F10" s="54"/>
      <c r="G10" s="54"/>
      <c r="H10" s="54"/>
      <c r="I10" s="54"/>
      <c r="J10" s="2495"/>
      <c r="K10" s="2495"/>
      <c r="L10" s="2498"/>
      <c r="M10" s="2503"/>
      <c r="N10" s="2504"/>
      <c r="O10" s="54"/>
    </row>
    <row r="11" spans="1:90" ht="21">
      <c r="A11" s="54"/>
      <c r="B11" s="54"/>
      <c r="C11" s="54"/>
      <c r="D11" s="1604" t="s">
        <v>1741</v>
      </c>
      <c r="E11" s="1529"/>
      <c r="F11" s="54"/>
      <c r="G11" s="54"/>
      <c r="H11" s="54"/>
      <c r="I11" s="54"/>
      <c r="J11" s="54"/>
      <c r="K11" s="54"/>
      <c r="L11" s="54"/>
      <c r="M11" s="54"/>
      <c r="N11" s="54"/>
      <c r="O11" s="54"/>
    </row>
    <row r="12" spans="1:90" ht="18.75">
      <c r="A12" s="54"/>
      <c r="B12" s="54"/>
      <c r="C12" s="54"/>
      <c r="D12" s="1605"/>
      <c r="E12" s="54"/>
      <c r="F12" s="54"/>
      <c r="G12" s="54"/>
      <c r="H12" s="54"/>
      <c r="I12" s="54"/>
      <c r="J12" s="54"/>
      <c r="K12" s="54"/>
      <c r="L12" s="54"/>
      <c r="M12" s="54"/>
      <c r="N12" s="54"/>
      <c r="O12" s="54"/>
    </row>
    <row r="13" spans="1:90" ht="18" customHeight="1">
      <c r="B13" s="54"/>
      <c r="C13" s="1817"/>
      <c r="D13" s="54"/>
      <c r="E13" s="54"/>
      <c r="F13" s="54"/>
      <c r="G13" s="54"/>
      <c r="H13" s="54"/>
      <c r="I13" s="54"/>
      <c r="J13" s="54"/>
      <c r="K13" s="54"/>
      <c r="L13" s="54"/>
      <c r="M13" s="54"/>
      <c r="N13" s="54"/>
      <c r="O13" s="54"/>
    </row>
    <row r="14" spans="1:90" ht="18" customHeight="1">
      <c r="B14" s="54"/>
      <c r="C14" s="54"/>
      <c r="D14" s="54"/>
      <c r="E14" s="54"/>
      <c r="F14" s="54"/>
      <c r="G14" s="54"/>
      <c r="H14" s="54"/>
      <c r="I14" s="54"/>
      <c r="J14" s="54"/>
      <c r="K14" s="54"/>
      <c r="L14" s="54"/>
      <c r="M14" s="54"/>
      <c r="N14" s="54"/>
      <c r="O14" s="54"/>
    </row>
    <row r="15" spans="1:90" ht="66" customHeight="1">
      <c r="B15" s="2490" t="s">
        <v>1777</v>
      </c>
      <c r="C15" s="2491"/>
      <c r="D15" s="2491"/>
      <c r="E15" s="2491"/>
      <c r="F15" s="2491"/>
      <c r="G15" s="2491"/>
      <c r="H15" s="2491"/>
      <c r="I15" s="2491"/>
      <c r="J15" s="2491"/>
      <c r="K15" s="2491"/>
      <c r="L15" s="2491"/>
      <c r="M15" s="2491"/>
      <c r="N15" s="2491"/>
      <c r="O15" s="2491"/>
      <c r="P15" s="2491"/>
      <c r="Q15" s="2491"/>
      <c r="R15" s="1357" t="s">
        <v>1487</v>
      </c>
      <c r="S15" s="1342"/>
      <c r="T15" s="1342"/>
      <c r="U15" s="1342"/>
      <c r="V15" s="1342"/>
      <c r="W15" s="1342"/>
      <c r="X15" s="1342"/>
      <c r="Y15" s="1342"/>
      <c r="Z15" s="1342"/>
      <c r="AA15" s="1342"/>
      <c r="AB15" s="1342"/>
      <c r="AC15" s="1342"/>
      <c r="AD15" s="1342"/>
      <c r="AE15" s="1342"/>
      <c r="AF15" s="1357" t="s">
        <v>1487</v>
      </c>
      <c r="AG15" s="1027"/>
      <c r="AH15" s="1027"/>
      <c r="AI15" s="1027"/>
      <c r="AJ15" s="1027"/>
      <c r="AK15" s="1027"/>
      <c r="AL15" s="1027"/>
      <c r="AM15" s="1027"/>
      <c r="AN15" s="1027"/>
      <c r="AO15" s="1027"/>
      <c r="AP15" s="1027"/>
      <c r="AQ15" s="1027"/>
      <c r="AR15" s="1027"/>
      <c r="AS15" s="1027"/>
      <c r="AT15" s="1027"/>
      <c r="AU15" s="1027"/>
      <c r="AW15" s="1616" t="s">
        <v>1597</v>
      </c>
      <c r="AX15" s="1611">
        <f>ROW()</f>
        <v>15</v>
      </c>
    </row>
    <row r="16" spans="1:90" ht="18" customHeight="1" thickBot="1">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row>
    <row r="17" spans="1:50" ht="18" customHeight="1" thickBot="1">
      <c r="B17" s="54"/>
      <c r="C17" s="54"/>
      <c r="D17" s="54"/>
      <c r="E17" s="54"/>
      <c r="F17" s="54"/>
      <c r="G17" s="1615" t="s">
        <v>1765</v>
      </c>
      <c r="H17" s="1607" t="str">
        <f>$S$66</f>
        <v>S66</v>
      </c>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row>
    <row r="18" spans="1:50" ht="18" customHeight="1">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row>
    <row r="19" spans="1:50" ht="15.75" thickBot="1"/>
    <row r="20" spans="1:50" ht="26.25" customHeight="1" thickBot="1">
      <c r="A20" s="50" t="s">
        <v>742</v>
      </c>
      <c r="B20" s="2488" t="s">
        <v>2032</v>
      </c>
      <c r="C20" s="2478"/>
      <c r="D20" s="2478"/>
      <c r="E20" s="2478"/>
      <c r="F20" s="2478"/>
      <c r="G20" s="2478"/>
      <c r="H20" s="2478"/>
      <c r="I20" s="2478"/>
      <c r="J20" s="2478"/>
      <c r="K20" s="2478"/>
      <c r="L20" s="2478"/>
      <c r="M20" s="2478"/>
      <c r="N20" s="2478"/>
      <c r="O20" s="2478"/>
      <c r="P20" s="2478"/>
      <c r="Q20" s="2489"/>
      <c r="S20" s="2480" t="s">
        <v>1596</v>
      </c>
      <c r="T20" s="2481"/>
      <c r="U20" s="2481"/>
      <c r="V20" s="2481"/>
      <c r="W20" s="2481"/>
      <c r="X20" s="2452" t="s">
        <v>1595</v>
      </c>
      <c r="Y20" s="2452"/>
      <c r="Z20" s="2452"/>
      <c r="AA20" s="2452"/>
      <c r="AB20" s="2452"/>
      <c r="AC20" s="2452"/>
      <c r="AD20" s="2452"/>
      <c r="AE20" s="2482"/>
      <c r="AG20" s="1115"/>
      <c r="AH20" s="729"/>
      <c r="AI20" s="729"/>
      <c r="AJ20" s="729"/>
      <c r="AK20" s="729"/>
      <c r="AL20" s="729"/>
      <c r="AM20" s="729"/>
      <c r="AN20" s="729"/>
      <c r="AO20" s="729"/>
      <c r="AP20" s="729"/>
      <c r="AQ20" s="729"/>
      <c r="AR20" s="729"/>
      <c r="AS20" s="729"/>
      <c r="AT20" s="729"/>
      <c r="AU20" s="729"/>
      <c r="AW20" s="1580" t="s">
        <v>1597</v>
      </c>
      <c r="AX20" s="1581">
        <f>ROW()</f>
        <v>20</v>
      </c>
    </row>
    <row r="21" spans="1:50" ht="28.5" customHeight="1">
      <c r="A21" s="49" t="s">
        <v>819</v>
      </c>
      <c r="B21" s="2483" t="str">
        <f>T21</f>
        <v>BOUDIN BLANC</v>
      </c>
      <c r="C21" s="2484"/>
      <c r="D21" s="2484"/>
      <c r="E21" s="2484"/>
      <c r="F21" s="2484"/>
      <c r="G21" s="2484"/>
      <c r="H21" s="654" t="str">
        <f>W21</f>
        <v>N°1</v>
      </c>
      <c r="I21" s="1467" t="s">
        <v>819</v>
      </c>
      <c r="J21" s="2485" t="str">
        <f>T21</f>
        <v>BOUDIN BLANC</v>
      </c>
      <c r="K21" s="2486"/>
      <c r="L21" s="2486"/>
      <c r="M21" s="2486"/>
      <c r="N21" s="2486"/>
      <c r="O21" s="2486"/>
      <c r="P21" s="654" t="str">
        <f>W21</f>
        <v>N°1</v>
      </c>
      <c r="Q21" s="1343" t="s">
        <v>818</v>
      </c>
      <c r="S21" s="1582" t="s">
        <v>75</v>
      </c>
      <c r="T21" s="2487" t="s">
        <v>1770</v>
      </c>
      <c r="U21" s="2487"/>
      <c r="V21" s="2487"/>
      <c r="W21" s="1583" t="s">
        <v>74</v>
      </c>
      <c r="X21" s="784"/>
      <c r="Y21" s="784"/>
      <c r="Z21" s="784"/>
      <c r="AA21" s="784"/>
      <c r="AB21" s="1471" t="str">
        <f>LEFT(ADDRESS(1,COLUMN(),4),LEN(ADDRESS(1,COLUMN(),4))-1)</f>
        <v>AB</v>
      </c>
      <c r="AC21" s="784"/>
      <c r="AD21" s="784"/>
      <c r="AE21" s="1114"/>
      <c r="AG21" s="2451" t="s">
        <v>735</v>
      </c>
      <c r="AH21" s="2452"/>
      <c r="AI21" s="2452"/>
      <c r="AJ21" s="2452"/>
      <c r="AK21" s="2452"/>
      <c r="AL21" s="2452"/>
      <c r="AM21" s="2452"/>
      <c r="AN21" s="2452"/>
      <c r="AO21" s="2452"/>
      <c r="AP21" s="2452"/>
      <c r="AQ21" s="2452"/>
      <c r="AR21" s="2452"/>
      <c r="AS21" s="2452"/>
      <c r="AT21" s="2452"/>
      <c r="AU21" s="2452"/>
      <c r="AW21" s="791" t="s">
        <v>755</v>
      </c>
      <c r="AX21" s="1478">
        <f>ROW()</f>
        <v>21</v>
      </c>
    </row>
    <row r="22" spans="1:50" ht="18" customHeight="1">
      <c r="A22" s="2508"/>
      <c r="B22" s="1575" t="s">
        <v>73</v>
      </c>
      <c r="C22" s="48" t="str">
        <f>T22</f>
        <v>Patrick GEORGIN Administrateur et créateur du site le COCHON et le BOEUF  </v>
      </c>
      <c r="D22" s="47"/>
      <c r="E22" s="47"/>
      <c r="F22" s="47"/>
      <c r="G22" s="47"/>
      <c r="H22" s="47"/>
      <c r="I22" s="2454"/>
      <c r="J22" s="44" t="s">
        <v>73</v>
      </c>
      <c r="K22" s="48" t="str">
        <f>T22</f>
        <v>Patrick GEORGIN Administrateur et créateur du site le COCHON et le BOEUF  </v>
      </c>
      <c r="L22" s="47"/>
      <c r="M22" s="47"/>
      <c r="N22" s="47"/>
      <c r="O22" s="47"/>
      <c r="P22" s="47"/>
      <c r="Q22" s="2455"/>
      <c r="S22" s="1584" t="s">
        <v>72</v>
      </c>
      <c r="T22" s="2456" t="s">
        <v>1769</v>
      </c>
      <c r="U22" s="2456"/>
      <c r="V22" s="2456"/>
      <c r="W22" s="2457"/>
      <c r="X22" s="2458" t="s">
        <v>736</v>
      </c>
      <c r="Y22" s="2459"/>
      <c r="Z22" s="2459"/>
      <c r="AA22" s="2459"/>
      <c r="AB22" s="2459"/>
      <c r="AC22" s="2459"/>
      <c r="AD22" s="2459"/>
      <c r="AE22" s="2460"/>
      <c r="AG22" s="2461" t="s">
        <v>736</v>
      </c>
      <c r="AH22" s="2462"/>
      <c r="AI22" s="2462"/>
      <c r="AJ22" s="2462"/>
      <c r="AK22" s="2462"/>
      <c r="AL22" s="2462"/>
      <c r="AM22" s="2462"/>
      <c r="AN22" s="2462"/>
      <c r="AO22" s="2462"/>
      <c r="AP22" s="2462"/>
      <c r="AQ22" s="2462"/>
      <c r="AR22" s="2462"/>
      <c r="AS22" s="2462"/>
      <c r="AT22" s="2462"/>
      <c r="AU22" s="2462"/>
      <c r="AW22" s="791" t="s">
        <v>755</v>
      </c>
      <c r="AX22" s="1478">
        <f>ROW()</f>
        <v>22</v>
      </c>
    </row>
    <row r="23" spans="1:50" ht="18" customHeight="1" thickBot="1">
      <c r="A23" s="2508"/>
      <c r="B23" s="1575" t="str">
        <f>S23</f>
        <v>❸ Constituant de quelle recette ?</v>
      </c>
      <c r="C23" s="46"/>
      <c r="D23" s="46"/>
      <c r="E23" s="46" t="str">
        <f>V23</f>
        <v>? une pâtisserie est souvent composée de recettes filles  attachées à une recette Mère</v>
      </c>
      <c r="F23" s="44"/>
      <c r="G23" s="54"/>
      <c r="H23" s="54"/>
      <c r="I23" s="2454"/>
      <c r="J23" s="44" t="str">
        <f>S23</f>
        <v>❸ Constituant de quelle recette ?</v>
      </c>
      <c r="K23" s="44"/>
      <c r="L23" s="44"/>
      <c r="M23" s="44"/>
      <c r="N23" s="44"/>
      <c r="O23" s="2463" t="str">
        <f>V23</f>
        <v>? une pâtisserie est souvent composée de recettes filles  attachées à une recette Mère</v>
      </c>
      <c r="P23" s="2463"/>
      <c r="Q23" s="2455"/>
      <c r="S23" s="1585" t="s">
        <v>71</v>
      </c>
      <c r="T23" s="342"/>
      <c r="U23" s="342"/>
      <c r="V23" s="2464" t="s">
        <v>684</v>
      </c>
      <c r="W23" s="2465"/>
      <c r="X23" s="2458"/>
      <c r="Y23" s="2459"/>
      <c r="Z23" s="2459"/>
      <c r="AA23" s="2459"/>
      <c r="AB23" s="2459"/>
      <c r="AC23" s="2459"/>
      <c r="AD23" s="2459"/>
      <c r="AE23" s="2460"/>
      <c r="AG23" s="2461"/>
      <c r="AH23" s="2462"/>
      <c r="AI23" s="2462"/>
      <c r="AJ23" s="2462"/>
      <c r="AK23" s="2462"/>
      <c r="AL23" s="2462"/>
      <c r="AM23" s="2462"/>
      <c r="AN23" s="2462"/>
      <c r="AO23" s="2462"/>
      <c r="AP23" s="2462"/>
      <c r="AQ23" s="2462"/>
      <c r="AR23" s="2462"/>
      <c r="AS23" s="2462"/>
      <c r="AT23" s="2462"/>
      <c r="AU23" s="2462"/>
      <c r="AW23" s="791" t="s">
        <v>755</v>
      </c>
      <c r="AX23" s="1478">
        <f>ROW()</f>
        <v>23</v>
      </c>
    </row>
    <row r="24" spans="1:50" ht="18" customHeight="1">
      <c r="A24" s="2508"/>
      <c r="B24" s="2509" t="s">
        <v>1566</v>
      </c>
      <c r="C24" s="2510"/>
      <c r="D24" s="2511">
        <v>5</v>
      </c>
      <c r="E24" s="641"/>
      <c r="F24" s="54"/>
      <c r="G24" s="54"/>
      <c r="H24" s="655"/>
      <c r="I24" s="2454"/>
      <c r="J24" s="2513">
        <v>0.13500000000000001</v>
      </c>
      <c r="K24" s="2393" t="s">
        <v>1707</v>
      </c>
      <c r="L24" s="2393"/>
      <c r="M24" s="1479"/>
      <c r="N24" s="1479"/>
      <c r="O24" s="2443" t="str">
        <f>IF(D26=1,"avec le poids BRUT de la recette vous pourriez faire : Nb de portions &gt;","avec le poids NET de la recette vous pourriez faire : Nb de portions &gt;")</f>
        <v>avec le poids BRUT de la recette vous pourriez faire : Nb de portions &gt;</v>
      </c>
      <c r="P24" s="2445">
        <f>IF(F27&gt;0,(F27/J24),(D27/J24))</f>
        <v>37.037037037037038</v>
      </c>
      <c r="Q24" s="2455"/>
      <c r="S24" s="1574"/>
      <c r="T24" s="42"/>
      <c r="U24" s="42"/>
      <c r="V24" s="1335"/>
      <c r="W24" s="1055"/>
      <c r="X24" s="2447" t="s">
        <v>574</v>
      </c>
      <c r="Y24" s="2447"/>
      <c r="Z24" s="2448"/>
      <c r="AA24" s="2426" t="s">
        <v>817</v>
      </c>
      <c r="AB24" s="2427" t="str">
        <f>IF(AB27&gt;0,"vous avez saisi un % de perte pour TOUTE LA RECETTE colonne Z",IF(AB59&gt;0,"Vous avez saisi des pourcentages de PERTES par produit colonne Z","Vous pouvez saisir un % de perte pour chaque PRODUIT ou pour la recette colonne Z"))</f>
        <v>Vous pouvez saisir un % de perte pour chaque PRODUIT ou pour la recette colonne Z</v>
      </c>
      <c r="AC24" s="2427"/>
      <c r="AD24" s="2427"/>
      <c r="AE24" s="2428"/>
      <c r="AG24" s="1334"/>
      <c r="AH24" s="1477"/>
      <c r="AI24" s="1477"/>
      <c r="AJ24" s="346"/>
      <c r="AK24" s="346"/>
      <c r="AL24" s="346"/>
      <c r="AM24" s="346"/>
      <c r="AN24" s="346"/>
      <c r="AO24" s="346"/>
      <c r="AP24" s="346"/>
      <c r="AQ24" s="600"/>
      <c r="AR24" s="600"/>
      <c r="AS24" s="600"/>
      <c r="AT24" s="600"/>
      <c r="AU24" s="600"/>
      <c r="AW24" s="791" t="s">
        <v>755</v>
      </c>
      <c r="AX24" s="1478">
        <f>ROW()</f>
        <v>24</v>
      </c>
    </row>
    <row r="25" spans="1:50" ht="18" customHeight="1" thickBot="1">
      <c r="A25" s="2508"/>
      <c r="B25" s="1586">
        <f>D24*1000</f>
        <v>5000</v>
      </c>
      <c r="C25" s="1587" t="s">
        <v>1600</v>
      </c>
      <c r="D25" s="2512"/>
      <c r="E25" s="2521"/>
      <c r="F25" s="2521"/>
      <c r="G25" s="726" t="str">
        <f>IF(D26=1,"",IF(AB27&gt;0,AB27,""))</f>
        <v/>
      </c>
      <c r="H25" s="655"/>
      <c r="I25" s="2454"/>
      <c r="J25" s="2514"/>
      <c r="K25" s="2394"/>
      <c r="L25" s="2394"/>
      <c r="M25" s="1469"/>
      <c r="N25" s="1469"/>
      <c r="O25" s="2444"/>
      <c r="P25" s="2446"/>
      <c r="Q25" s="2455"/>
      <c r="S25" s="609" t="s">
        <v>106</v>
      </c>
      <c r="T25" s="608" t="str">
        <f>AB24</f>
        <v>Vous pouvez saisir un % de perte pour chaque PRODUIT ou pour la recette colonne Z</v>
      </c>
      <c r="U25" s="42"/>
      <c r="V25" s="1335"/>
      <c r="W25" s="1055"/>
      <c r="X25" s="2447"/>
      <c r="Y25" s="2447"/>
      <c r="Z25" s="2448"/>
      <c r="AA25" s="2426"/>
      <c r="AB25" s="2427"/>
      <c r="AC25" s="2427"/>
      <c r="AD25" s="2427"/>
      <c r="AE25" s="2428"/>
      <c r="AG25" s="2468" t="s">
        <v>732</v>
      </c>
      <c r="AH25" s="2469"/>
      <c r="AI25" s="2470"/>
      <c r="AJ25" s="2469" t="s">
        <v>697</v>
      </c>
      <c r="AK25" s="2469"/>
      <c r="AL25" s="2469"/>
      <c r="AM25" s="2470"/>
      <c r="AN25" s="2468" t="s">
        <v>698</v>
      </c>
      <c r="AO25" s="2469"/>
      <c r="AP25" s="2469"/>
      <c r="AQ25" s="2470"/>
      <c r="AR25" s="2468" t="s">
        <v>586</v>
      </c>
      <c r="AS25" s="2469"/>
      <c r="AT25" s="2469"/>
      <c r="AU25" s="2469"/>
      <c r="AW25" s="791" t="s">
        <v>755</v>
      </c>
      <c r="AX25" s="1478">
        <f>ROW()</f>
        <v>25</v>
      </c>
    </row>
    <row r="26" spans="1:50" ht="18" customHeight="1">
      <c r="A26" s="2508"/>
      <c r="B26" s="1588"/>
      <c r="C26" s="614" t="s">
        <v>1567</v>
      </c>
      <c r="D26" s="612">
        <v>1</v>
      </c>
      <c r="E26" s="642" t="str">
        <f>IF(D26=1,AG25,IF(D26=2,AJ25,IF(D26=3,AN25,IF(D26&gt;3,"LE N° DE CHOIX S'ARRETE AU N° 3"))))</f>
        <v xml:space="preserve">1 = RECETTE DE L'AUTEUR AVEC VOTRE POIDS DEMANDÉ </v>
      </c>
      <c r="F26" s="643"/>
      <c r="G26" s="643"/>
      <c r="H26" s="655"/>
      <c r="I26" s="2454"/>
      <c r="J26" s="1345">
        <v>4</v>
      </c>
      <c r="K26" s="1346" t="s">
        <v>1697</v>
      </c>
      <c r="L26" s="1347"/>
      <c r="M26" s="1347"/>
      <c r="N26" s="1347"/>
      <c r="O26" s="1480"/>
      <c r="P26" s="2517">
        <f>(J27*J26)</f>
        <v>0.44</v>
      </c>
      <c r="Q26" s="2455"/>
      <c r="S26" s="1569"/>
      <c r="T26" s="36" t="s">
        <v>1</v>
      </c>
      <c r="U26" s="37">
        <v>2</v>
      </c>
      <c r="V26" s="36" t="s">
        <v>0</v>
      </c>
      <c r="W26" s="1106">
        <v>2</v>
      </c>
      <c r="X26" s="2447"/>
      <c r="Y26" s="2447"/>
      <c r="Z26" s="2448"/>
      <c r="AA26" s="2426"/>
      <c r="AB26" s="2427"/>
      <c r="AC26" s="2427"/>
      <c r="AD26" s="2427"/>
      <c r="AE26" s="2428"/>
      <c r="AG26" s="2468"/>
      <c r="AH26" s="2469"/>
      <c r="AI26" s="2470"/>
      <c r="AJ26" s="2468"/>
      <c r="AK26" s="2469"/>
      <c r="AL26" s="2469"/>
      <c r="AM26" s="2470"/>
      <c r="AN26" s="2468"/>
      <c r="AO26" s="2469"/>
      <c r="AP26" s="2469"/>
      <c r="AQ26" s="2470"/>
      <c r="AR26" s="2468"/>
      <c r="AS26" s="2469"/>
      <c r="AT26" s="2469"/>
      <c r="AU26" s="2469"/>
      <c r="AW26" s="791" t="s">
        <v>755</v>
      </c>
      <c r="AX26" s="1478">
        <f>ROW()</f>
        <v>26</v>
      </c>
    </row>
    <row r="27" spans="1:50" ht="30" customHeight="1">
      <c r="A27" s="2508"/>
      <c r="B27" s="639"/>
      <c r="C27" s="639" t="str">
        <f>IF(D26=1,"CHOIX N° 1",IF(D26=2,"CHOIX N° 2",IF(D26=3,"CHOIX N° 3","QUEL CHOIX?")))</f>
        <v>CHOIX N° 1</v>
      </c>
      <c r="D27" s="1295">
        <f>D60</f>
        <v>5</v>
      </c>
      <c r="E27" s="2383" t="s">
        <v>52</v>
      </c>
      <c r="F27" s="1295">
        <f>F60</f>
        <v>0</v>
      </c>
      <c r="G27" s="1589" t="s">
        <v>1568</v>
      </c>
      <c r="I27" s="2454"/>
      <c r="J27" s="1304">
        <v>0.11</v>
      </c>
      <c r="K27" s="1080" t="s">
        <v>1695</v>
      </c>
      <c r="L27" s="1081"/>
      <c r="M27" s="1081"/>
      <c r="N27" s="1081"/>
      <c r="O27" s="1121" t="s">
        <v>1599</v>
      </c>
      <c r="P27" s="2518"/>
      <c r="Q27" s="2455"/>
      <c r="S27" s="1590" t="s">
        <v>1696</v>
      </c>
      <c r="T27" s="1309"/>
      <c r="U27" s="1309"/>
      <c r="V27" s="1075" t="s">
        <v>67</v>
      </c>
      <c r="W27" s="1288">
        <f>W59</f>
        <v>0.7</v>
      </c>
      <c r="X27" s="2519">
        <v>1</v>
      </c>
      <c r="Y27" s="2519"/>
      <c r="Z27" s="2520"/>
      <c r="AA27" s="2426"/>
      <c r="AB27" s="629"/>
      <c r="AC27" s="1349" t="s">
        <v>1575</v>
      </c>
      <c r="AD27" s="1350"/>
      <c r="AE27" s="1351"/>
      <c r="AG27" s="601"/>
      <c r="AH27" s="603" t="s">
        <v>578</v>
      </c>
      <c r="AI27" s="1294">
        <f>D24</f>
        <v>5</v>
      </c>
      <c r="AJ27" s="601"/>
      <c r="AK27" s="602"/>
      <c r="AL27" s="603" t="s">
        <v>578</v>
      </c>
      <c r="AM27" s="1294">
        <f>D24</f>
        <v>5</v>
      </c>
      <c r="AN27" s="617"/>
      <c r="AO27" s="603"/>
      <c r="AP27" s="603" t="s">
        <v>582</v>
      </c>
      <c r="AQ27" s="1303">
        <f>D24</f>
        <v>5</v>
      </c>
      <c r="AR27" s="602"/>
      <c r="AS27" s="593">
        <f>SUM(AS29:AS58)</f>
        <v>0</v>
      </c>
      <c r="AT27" s="615"/>
      <c r="AU27" s="616"/>
      <c r="AW27" s="791" t="s">
        <v>755</v>
      </c>
      <c r="AX27" s="1478">
        <f>ROW()</f>
        <v>27</v>
      </c>
    </row>
    <row r="28" spans="1:50" ht="36.75" customHeight="1">
      <c r="A28" s="2508"/>
      <c r="B28" s="1442" t="s">
        <v>61</v>
      </c>
      <c r="C28" s="1443" t="s">
        <v>60</v>
      </c>
      <c r="D28" s="1443" t="s">
        <v>577</v>
      </c>
      <c r="E28" s="2383"/>
      <c r="F28" s="1444" t="s">
        <v>576</v>
      </c>
      <c r="G28" s="1286" t="s">
        <v>65</v>
      </c>
      <c r="H28" s="1352" t="s">
        <v>64</v>
      </c>
      <c r="I28" s="2454"/>
      <c r="J28" s="1353"/>
      <c r="K28" s="1354" t="s">
        <v>1</v>
      </c>
      <c r="L28" s="1355">
        <f>U26</f>
        <v>2</v>
      </c>
      <c r="M28" s="1355"/>
      <c r="N28" s="1355"/>
      <c r="O28" s="1356" t="s">
        <v>0</v>
      </c>
      <c r="P28" s="1355">
        <f>W26</f>
        <v>2</v>
      </c>
      <c r="Q28" s="2455"/>
      <c r="R28" s="1357" t="s">
        <v>1487</v>
      </c>
      <c r="S28" s="1358" t="s">
        <v>61</v>
      </c>
      <c r="T28" s="1359" t="s">
        <v>60</v>
      </c>
      <c r="U28" s="1360" t="s">
        <v>63</v>
      </c>
      <c r="V28" s="1361" t="s">
        <v>62</v>
      </c>
      <c r="W28" s="625"/>
      <c r="X28" s="622" t="s">
        <v>490</v>
      </c>
      <c r="Y28" s="622" t="s">
        <v>61</v>
      </c>
      <c r="Z28" s="620" t="s">
        <v>60</v>
      </c>
      <c r="AA28" s="1060"/>
      <c r="AB28" s="718" t="s">
        <v>1565</v>
      </c>
      <c r="AC28" s="718" t="s">
        <v>702</v>
      </c>
      <c r="AD28" s="622" t="s">
        <v>703</v>
      </c>
      <c r="AE28" s="620" t="s">
        <v>474</v>
      </c>
      <c r="AF28" s="1357" t="s">
        <v>1487</v>
      </c>
      <c r="AG28" s="619" t="s">
        <v>577</v>
      </c>
      <c r="AH28" s="622" t="s">
        <v>61</v>
      </c>
      <c r="AI28" s="622" t="s">
        <v>60</v>
      </c>
      <c r="AJ28" s="619" t="s">
        <v>576</v>
      </c>
      <c r="AK28" s="645" t="s">
        <v>577</v>
      </c>
      <c r="AL28" s="622" t="s">
        <v>61</v>
      </c>
      <c r="AM28" s="620" t="s">
        <v>60</v>
      </c>
      <c r="AN28" s="645" t="s">
        <v>576</v>
      </c>
      <c r="AO28" s="622" t="s">
        <v>577</v>
      </c>
      <c r="AP28" s="622" t="s">
        <v>61</v>
      </c>
      <c r="AQ28" s="620" t="s">
        <v>60</v>
      </c>
      <c r="AR28" s="619" t="s">
        <v>576</v>
      </c>
      <c r="AS28" s="622" t="s">
        <v>577</v>
      </c>
      <c r="AT28" s="622" t="s">
        <v>61</v>
      </c>
      <c r="AU28" s="622" t="s">
        <v>60</v>
      </c>
      <c r="AW28" s="791" t="s">
        <v>755</v>
      </c>
      <c r="AX28" s="1478">
        <f>ROW()</f>
        <v>28</v>
      </c>
    </row>
    <row r="29" spans="1:50" ht="18.95" customHeight="1">
      <c r="A29" s="2508"/>
      <c r="B29" s="1437">
        <f>IF(D26=1,AH29,IF(D26=2,AL29,IF(D26=3,AP29,IF(D26=4,AT29))))</f>
        <v>0</v>
      </c>
      <c r="C29" s="1438">
        <f>IF(D26=1,AI29,IF(D26=2,AM29,IF(D26=3,AQ29,IF(D26=4,AU29))))</f>
        <v>0</v>
      </c>
      <c r="D29" s="1510">
        <f>IF(D26=1,AG29,IF(D26=2,AK29,IF(D26=3,AO29,IF(D26=4,AS29))))</f>
        <v>0</v>
      </c>
      <c r="E29" s="1440" t="str">
        <f>IF(D26=1,"",IF(D29=F29,"",AD29))</f>
        <v/>
      </c>
      <c r="F29" s="1445" t="str">
        <f>IF(D26=1,"",IF(D26=2,AJ29,IF(D26=3,AN29,IF(D26=4,AR29))))</f>
        <v/>
      </c>
      <c r="G29" s="22" t="str">
        <f t="shared" ref="G29:G58" si="0">V29</f>
        <v>CHARCUTERIE</v>
      </c>
      <c r="H29" s="1312">
        <f>W27</f>
        <v>0.7</v>
      </c>
      <c r="I29" s="2454"/>
      <c r="J29" s="1280" t="s">
        <v>68</v>
      </c>
      <c r="K29" s="1591"/>
      <c r="L29" s="1592"/>
      <c r="M29" s="1592"/>
      <c r="N29" s="1592"/>
      <c r="O29" s="1593"/>
      <c r="P29" s="1594"/>
      <c r="Q29" s="2455"/>
      <c r="S29" s="1362"/>
      <c r="T29" s="1306"/>
      <c r="U29" s="1307"/>
      <c r="V29" s="19" t="s">
        <v>1757</v>
      </c>
      <c r="W29" s="1279">
        <f t="shared" ref="W29:W58" si="1">IF(ISBLANK(S29),U29,(U29*S29))</f>
        <v>0</v>
      </c>
      <c r="X29" s="1289">
        <f>(W29/W27)*X27</f>
        <v>0</v>
      </c>
      <c r="Y29" s="18" t="str">
        <f>IF(ISBLANK(S29),"",(S29/W27)*X27)</f>
        <v/>
      </c>
      <c r="Z29" s="594">
        <f>T29</f>
        <v>0</v>
      </c>
      <c r="AA29" s="1365">
        <f>W29/W27</f>
        <v>0</v>
      </c>
      <c r="AB29" s="630"/>
      <c r="AC29" s="624">
        <f>AB27</f>
        <v>0</v>
      </c>
      <c r="AD29" s="624">
        <f>AB29+AC29</f>
        <v>0</v>
      </c>
      <c r="AE29" s="1366">
        <f>1-AD29</f>
        <v>1</v>
      </c>
      <c r="AG29" s="1290">
        <f>((W29/W27)*AI27)</f>
        <v>0</v>
      </c>
      <c r="AH29" s="18">
        <f>IF(ISTEXT(S29),S29,IF(ISBLANK(S29),0,(S29/W27)*AI27))</f>
        <v>0</v>
      </c>
      <c r="AI29" s="17">
        <f t="shared" ref="AI29:AI58" si="2">T29</f>
        <v>0</v>
      </c>
      <c r="AJ29" s="1291">
        <f t="shared" ref="AJ29:AJ58" si="3">AK29*AE29</f>
        <v>0</v>
      </c>
      <c r="AK29" s="1292">
        <f>AM27*AA29</f>
        <v>0</v>
      </c>
      <c r="AL29" s="18">
        <f>IF(ISBLANK(S29),0,(S29/W27)*AM27)</f>
        <v>0</v>
      </c>
      <c r="AM29" s="594">
        <f t="shared" ref="AM29:AM58" si="4">T29</f>
        <v>0</v>
      </c>
      <c r="AN29" s="1292">
        <f>AK29</f>
        <v>0</v>
      </c>
      <c r="AO29" s="1293">
        <f t="shared" ref="AO29:AO58" si="5">(AN29*AD29)+AN29</f>
        <v>0</v>
      </c>
      <c r="AP29" s="18">
        <f>IF(ISBLANK(S29),0,(S29/W59)*AO60)</f>
        <v>0</v>
      </c>
      <c r="AQ29" s="594">
        <f t="shared" ref="AQ29:AQ58" si="6">T29</f>
        <v>0</v>
      </c>
      <c r="AR29" s="649" t="s">
        <v>588</v>
      </c>
      <c r="AS29" s="648" t="s">
        <v>589</v>
      </c>
      <c r="AT29" s="648" t="s">
        <v>587</v>
      </c>
      <c r="AU29" s="648">
        <v>3</v>
      </c>
      <c r="AW29" s="791" t="s">
        <v>755</v>
      </c>
      <c r="AX29" s="1478">
        <f>ROW()</f>
        <v>29</v>
      </c>
    </row>
    <row r="30" spans="1:50" ht="18.95" customHeight="1">
      <c r="A30" s="2508"/>
      <c r="B30" s="1437">
        <f>IF(D26=1,AH30,IF(D26=2,AL30,IF(D26=3,AP30,IF(D26=4,AT30))))</f>
        <v>0</v>
      </c>
      <c r="C30" s="1438">
        <f>IF(D26=1,AI30,IF(D26=2,AM30,IF(D26=3,AQ30,IF(D26=4,AU30))))</f>
        <v>0</v>
      </c>
      <c r="D30" s="1510">
        <f>IF(D26=1,AG30,IF(D26=2,AK30,IF(D26=3,AO30,IF(D26=4,AS30))))</f>
        <v>3.5000000000000004</v>
      </c>
      <c r="E30" s="1440" t="str">
        <f>IF(D26=1,"",IF(D30=F30,"",AD30))</f>
        <v/>
      </c>
      <c r="F30" s="1445" t="str">
        <f>IF(D26=1,"",IF(D26=2,AJ30,IF(D26=3,AN30,IF(D26=4,AR30))))</f>
        <v/>
      </c>
      <c r="G30" s="22" t="str">
        <f t="shared" si="0"/>
        <v>Maigre de 1° et 2° choix (gorge-poitrine) 70%</v>
      </c>
      <c r="H30" s="22"/>
      <c r="I30" s="2454"/>
      <c r="J30" s="1530">
        <v>1</v>
      </c>
      <c r="K30" s="15"/>
      <c r="L30" s="15"/>
      <c r="M30" s="15"/>
      <c r="N30" s="15"/>
      <c r="O30" s="15"/>
      <c r="P30" s="1529"/>
      <c r="Q30" s="2455"/>
      <c r="S30" s="1362"/>
      <c r="T30" s="1306"/>
      <c r="U30" s="1307">
        <v>0.49</v>
      </c>
      <c r="V30" s="19" t="s">
        <v>1766</v>
      </c>
      <c r="W30" s="1279">
        <f t="shared" si="1"/>
        <v>0.49</v>
      </c>
      <c r="X30" s="1289">
        <f>(W30/W27)*X27</f>
        <v>0.70000000000000007</v>
      </c>
      <c r="Y30" s="18" t="str">
        <f>IF(ISBLANK(S30),"",(S30/W27)*X27)</f>
        <v/>
      </c>
      <c r="Z30" s="594">
        <f>T30</f>
        <v>0</v>
      </c>
      <c r="AA30" s="1365">
        <f>W30/W27</f>
        <v>0.70000000000000007</v>
      </c>
      <c r="AB30" s="630"/>
      <c r="AC30" s="624">
        <f>AB27</f>
        <v>0</v>
      </c>
      <c r="AD30" s="624">
        <f t="shared" ref="AD30:AD58" si="7">AB30+AC30</f>
        <v>0</v>
      </c>
      <c r="AE30" s="1366">
        <f t="shared" ref="AE30:AE58" si="8">1-AD30</f>
        <v>1</v>
      </c>
      <c r="AG30" s="1290">
        <f>((W30/W27)*AI27)</f>
        <v>3.5000000000000004</v>
      </c>
      <c r="AH30" s="18">
        <f>IF(ISTEXT(S30),S30,IF(ISBLANK(S30),0,(S30/W27)*AI27))</f>
        <v>0</v>
      </c>
      <c r="AI30" s="17">
        <f t="shared" si="2"/>
        <v>0</v>
      </c>
      <c r="AJ30" s="1291">
        <f t="shared" si="3"/>
        <v>3.5000000000000004</v>
      </c>
      <c r="AK30" s="1292">
        <f>AM27*AA30</f>
        <v>3.5000000000000004</v>
      </c>
      <c r="AL30" s="18">
        <f>IF(ISBLANK(S30),0,(S30/W27)*AM27)</f>
        <v>0</v>
      </c>
      <c r="AM30" s="594">
        <f t="shared" si="4"/>
        <v>0</v>
      </c>
      <c r="AN30" s="1292">
        <f>AK30</f>
        <v>3.5000000000000004</v>
      </c>
      <c r="AO30" s="1293">
        <f t="shared" si="5"/>
        <v>3.5000000000000004</v>
      </c>
      <c r="AP30" s="18">
        <f>IF(ISBLANK(S30),0,(S30/W59)*AO60)</f>
        <v>0</v>
      </c>
      <c r="AQ30" s="594">
        <f t="shared" si="6"/>
        <v>0</v>
      </c>
      <c r="AR30" s="649" t="s">
        <v>588</v>
      </c>
      <c r="AS30" s="648" t="s">
        <v>589</v>
      </c>
      <c r="AT30" s="648" t="s">
        <v>587</v>
      </c>
      <c r="AU30" s="648">
        <v>3</v>
      </c>
      <c r="AW30" s="1580" t="s">
        <v>758</v>
      </c>
      <c r="AX30" s="1581">
        <f>ROW()</f>
        <v>30</v>
      </c>
    </row>
    <row r="31" spans="1:50" ht="18.95" customHeight="1">
      <c r="A31" s="2508"/>
      <c r="B31" s="1437">
        <f>IF(D26=1,AH31,IF(D26=2,AL31,IF(D26=3,AP31,IF(D26=4,AT31))))</f>
        <v>0</v>
      </c>
      <c r="C31" s="1438">
        <f>IF(D26=1,AI31,IF(D26=2,AM31,IF(D26=3,AQ31,IF(D26=4,AU31))))</f>
        <v>0</v>
      </c>
      <c r="D31" s="1510">
        <f>IF(D26=1,AG31,IF(D26=2,AK31,IF(D26=3,AO31,IF(D26=4,AS31))))</f>
        <v>1.5</v>
      </c>
      <c r="E31" s="1440" t="str">
        <f>IF(D26=1,"",IF(D31=F31,"",AD31))</f>
        <v/>
      </c>
      <c r="F31" s="1445" t="str">
        <f>IF(D26=1,"",IF(D26=2,AJ31,IF(D26=3,AN31,IF(D26=4,AR31))))</f>
        <v/>
      </c>
      <c r="G31" s="22" t="str">
        <f t="shared" si="0"/>
        <v>Gras dur (gorge-bardière) 30%</v>
      </c>
      <c r="H31" s="22"/>
      <c r="I31" s="2454"/>
      <c r="J31" s="1530">
        <v>2</v>
      </c>
      <c r="K31" s="15"/>
      <c r="L31" s="15"/>
      <c r="M31" s="15"/>
      <c r="N31" s="15"/>
      <c r="O31" s="15"/>
      <c r="P31" s="1529"/>
      <c r="Q31" s="2455"/>
      <c r="S31" s="1362"/>
      <c r="T31" s="1306"/>
      <c r="U31" s="1307">
        <v>0.21</v>
      </c>
      <c r="V31" s="19" t="s">
        <v>1767</v>
      </c>
      <c r="W31" s="1279">
        <f t="shared" si="1"/>
        <v>0.21</v>
      </c>
      <c r="X31" s="1289">
        <f>(W31/W27)*X27</f>
        <v>0.3</v>
      </c>
      <c r="Y31" s="18" t="str">
        <f>IF(ISBLANK(S31),"",(S31/W27)*X27)</f>
        <v/>
      </c>
      <c r="Z31" s="594">
        <f>T31</f>
        <v>0</v>
      </c>
      <c r="AA31" s="1365">
        <f>W31/W27</f>
        <v>0.3</v>
      </c>
      <c r="AB31" s="630"/>
      <c r="AC31" s="624">
        <f>AB27</f>
        <v>0</v>
      </c>
      <c r="AD31" s="624">
        <f t="shared" si="7"/>
        <v>0</v>
      </c>
      <c r="AE31" s="1366">
        <f t="shared" si="8"/>
        <v>1</v>
      </c>
      <c r="AG31" s="1290">
        <f>((W31/W27)*AI27)</f>
        <v>1.5</v>
      </c>
      <c r="AH31" s="18">
        <f>IF(ISTEXT(S31),S31,IF(ISBLANK(S31),0,(S31/W27)*AI27))</f>
        <v>0</v>
      </c>
      <c r="AI31" s="17">
        <f t="shared" si="2"/>
        <v>0</v>
      </c>
      <c r="AJ31" s="1291">
        <f t="shared" si="3"/>
        <v>1.5</v>
      </c>
      <c r="AK31" s="1292">
        <f>AM27*AA31</f>
        <v>1.5</v>
      </c>
      <c r="AL31" s="18">
        <f>IF(ISBLANK(S31),0,(S31/W27)*AM27)</f>
        <v>0</v>
      </c>
      <c r="AM31" s="594">
        <f t="shared" si="4"/>
        <v>0</v>
      </c>
      <c r="AN31" s="1292">
        <f t="shared" ref="AN31:AN58" si="9">AK31</f>
        <v>1.5</v>
      </c>
      <c r="AO31" s="1293">
        <f t="shared" si="5"/>
        <v>1.5</v>
      </c>
      <c r="AP31" s="18">
        <f>IF(ISBLANK(S31),0,(S31/W59)*AO60)</f>
        <v>0</v>
      </c>
      <c r="AQ31" s="594">
        <f t="shared" si="6"/>
        <v>0</v>
      </c>
      <c r="AR31" s="649" t="s">
        <v>588</v>
      </c>
      <c r="AS31" s="648" t="s">
        <v>589</v>
      </c>
      <c r="AT31" s="648" t="s">
        <v>587</v>
      </c>
      <c r="AU31" s="648">
        <v>3</v>
      </c>
      <c r="AW31" s="1595" t="s">
        <v>758</v>
      </c>
      <c r="AX31" s="1596">
        <f>ROW()</f>
        <v>31</v>
      </c>
    </row>
    <row r="32" spans="1:50" ht="18.95" customHeight="1">
      <c r="A32" s="2508"/>
      <c r="B32" s="1437">
        <f>IF(D26=1,AH32,IF(D26=2,AL32,IF(D26=3,AP32,IF(D26=4,AT32))))</f>
        <v>0</v>
      </c>
      <c r="C32" s="1438">
        <f>IF(D26=1,AI32,IF(D26=2,AM32,IF(D26=3,AQ32,IF(D26=4,AU32))))</f>
        <v>0</v>
      </c>
      <c r="D32" s="1510">
        <f>IF(D26=1,AG32,IF(D26=2,AK32,IF(D26=3,AO32,IF(D26=4,AS32))))</f>
        <v>0</v>
      </c>
      <c r="E32" s="1440" t="str">
        <f>IF(D26=1,"",IF(D32=F32,"",AD32))</f>
        <v/>
      </c>
      <c r="F32" s="1445" t="str">
        <f>IF(D26=1,"",IF(D26=2,AJ32,IF(D26=3,AN32,IF(D26=4,AR32))))</f>
        <v/>
      </c>
      <c r="G32" s="22">
        <f t="shared" si="0"/>
        <v>0</v>
      </c>
      <c r="H32" s="22"/>
      <c r="I32" s="2454"/>
      <c r="J32" s="1530">
        <v>3</v>
      </c>
      <c r="K32" s="15"/>
      <c r="L32" s="15"/>
      <c r="M32" s="15"/>
      <c r="N32" s="15"/>
      <c r="O32" s="15"/>
      <c r="P32" s="1529"/>
      <c r="Q32" s="2455"/>
      <c r="S32" s="1362"/>
      <c r="T32" s="1306"/>
      <c r="U32" s="1307"/>
      <c r="V32" s="19"/>
      <c r="W32" s="1279">
        <f t="shared" si="1"/>
        <v>0</v>
      </c>
      <c r="X32" s="1289">
        <f>(W32/W27)*X27</f>
        <v>0</v>
      </c>
      <c r="Y32" s="18" t="str">
        <f>IF(ISBLANK(S32),"",(S32/W27)*X27)</f>
        <v/>
      </c>
      <c r="Z32" s="594">
        <f t="shared" ref="Z32:Z58" si="10">T32</f>
        <v>0</v>
      </c>
      <c r="AA32" s="1365">
        <f>W32/W27</f>
        <v>0</v>
      </c>
      <c r="AB32" s="630"/>
      <c r="AC32" s="624">
        <f>AB27</f>
        <v>0</v>
      </c>
      <c r="AD32" s="624">
        <f t="shared" si="7"/>
        <v>0</v>
      </c>
      <c r="AE32" s="1366">
        <f t="shared" si="8"/>
        <v>1</v>
      </c>
      <c r="AG32" s="1290">
        <f>((W32/W27)*AI27)</f>
        <v>0</v>
      </c>
      <c r="AH32" s="18">
        <f>IF(ISTEXT(S32),S32,IF(ISBLANK(S32),0,(S32/W27)*AI27))</f>
        <v>0</v>
      </c>
      <c r="AI32" s="17">
        <f t="shared" si="2"/>
        <v>0</v>
      </c>
      <c r="AJ32" s="1291">
        <f t="shared" si="3"/>
        <v>0</v>
      </c>
      <c r="AK32" s="1292">
        <f>AM27*AA32</f>
        <v>0</v>
      </c>
      <c r="AL32" s="18">
        <f>IF(ISBLANK(S32),0,(S32/W27)*AM27)</f>
        <v>0</v>
      </c>
      <c r="AM32" s="594">
        <f t="shared" si="4"/>
        <v>0</v>
      </c>
      <c r="AN32" s="1292">
        <f t="shared" si="9"/>
        <v>0</v>
      </c>
      <c r="AO32" s="1293">
        <f t="shared" si="5"/>
        <v>0</v>
      </c>
      <c r="AP32" s="18">
        <f>IF(ISBLANK(S32),0,(S32/W59)*AO60)</f>
        <v>0</v>
      </c>
      <c r="AQ32" s="594">
        <f t="shared" si="6"/>
        <v>0</v>
      </c>
      <c r="AR32" s="649" t="s">
        <v>588</v>
      </c>
      <c r="AS32" s="648" t="s">
        <v>589</v>
      </c>
      <c r="AT32" s="648" t="s">
        <v>587</v>
      </c>
      <c r="AU32" s="648">
        <v>3</v>
      </c>
      <c r="AW32" s="1580" t="s">
        <v>758</v>
      </c>
      <c r="AX32" s="1581">
        <f>ROW()</f>
        <v>32</v>
      </c>
    </row>
    <row r="33" spans="1:50" ht="18.95" customHeight="1">
      <c r="A33" s="2508"/>
      <c r="B33" s="1437">
        <f>IF(D26=1,AH33,IF(D26=2,AL33,IF(D26=3,AP33,IF(D26=4,AT33))))</f>
        <v>0</v>
      </c>
      <c r="C33" s="1438">
        <f>IF(D26=1,AI33,IF(D26=2,AM33,IF(D26=3,AQ33,IF(D26=4,AU33))))</f>
        <v>0</v>
      </c>
      <c r="D33" s="1510">
        <f>IF(D26=1,AG33,IF(D26=2,AK33,IF(D26=3,AO33,IF(D26=4,AS33))))</f>
        <v>0</v>
      </c>
      <c r="E33" s="1440" t="str">
        <f>IF(D26=1,"",IF(D33=F33,"",AD33))</f>
        <v/>
      </c>
      <c r="F33" s="1445" t="str">
        <f>IF(D26=1,"",IF(D26=2,AJ33,IF(D26=3,AN33,IF(D26=4,AR33))))</f>
        <v/>
      </c>
      <c r="G33" s="22" t="str">
        <f t="shared" si="0"/>
        <v>ETC…...</v>
      </c>
      <c r="H33" s="22"/>
      <c r="I33" s="2454"/>
      <c r="J33" s="1530">
        <v>4</v>
      </c>
      <c r="K33" s="15"/>
      <c r="L33" s="15"/>
      <c r="M33" s="15"/>
      <c r="N33" s="15"/>
      <c r="O33" s="15"/>
      <c r="P33" s="1529"/>
      <c r="Q33" s="2455"/>
      <c r="S33" s="1362"/>
      <c r="T33" s="1306"/>
      <c r="U33" s="1307"/>
      <c r="V33" s="19" t="s">
        <v>1768</v>
      </c>
      <c r="W33" s="1279">
        <f t="shared" si="1"/>
        <v>0</v>
      </c>
      <c r="X33" s="1289">
        <f>(W33/W27)*X27</f>
        <v>0</v>
      </c>
      <c r="Y33" s="18" t="str">
        <f>IF(ISBLANK(S33),"",(S33/W27)*X27)</f>
        <v/>
      </c>
      <c r="Z33" s="594">
        <f t="shared" si="10"/>
        <v>0</v>
      </c>
      <c r="AA33" s="1365">
        <f>W33/W27</f>
        <v>0</v>
      </c>
      <c r="AB33" s="630"/>
      <c r="AC33" s="624">
        <f>AB27</f>
        <v>0</v>
      </c>
      <c r="AD33" s="624">
        <f t="shared" si="7"/>
        <v>0</v>
      </c>
      <c r="AE33" s="1366">
        <f t="shared" si="8"/>
        <v>1</v>
      </c>
      <c r="AG33" s="1290">
        <f>((W33/W27)*AI27)</f>
        <v>0</v>
      </c>
      <c r="AH33" s="18">
        <f>IF(ISTEXT(S33),S33,IF(ISBLANK(S33),0,(S33/W27)*AI27))</f>
        <v>0</v>
      </c>
      <c r="AI33" s="17">
        <f t="shared" si="2"/>
        <v>0</v>
      </c>
      <c r="AJ33" s="1291">
        <f t="shared" si="3"/>
        <v>0</v>
      </c>
      <c r="AK33" s="1292">
        <f>AM27*AA33</f>
        <v>0</v>
      </c>
      <c r="AL33" s="18">
        <f>IF(ISBLANK(S33),0,(S33/W27)*AM27)</f>
        <v>0</v>
      </c>
      <c r="AM33" s="594">
        <f t="shared" si="4"/>
        <v>0</v>
      </c>
      <c r="AN33" s="1292">
        <f t="shared" si="9"/>
        <v>0</v>
      </c>
      <c r="AO33" s="1293">
        <f t="shared" si="5"/>
        <v>0</v>
      </c>
      <c r="AP33" s="18">
        <f>IF(ISBLANK(S33),0,(S33/W59)*AO60)</f>
        <v>0</v>
      </c>
      <c r="AQ33" s="594">
        <f t="shared" si="6"/>
        <v>0</v>
      </c>
      <c r="AR33" s="649" t="s">
        <v>588</v>
      </c>
      <c r="AS33" s="648" t="s">
        <v>589</v>
      </c>
      <c r="AT33" s="648" t="s">
        <v>587</v>
      </c>
      <c r="AU33" s="648">
        <v>3</v>
      </c>
      <c r="AW33" s="1595" t="s">
        <v>758</v>
      </c>
      <c r="AX33" s="1596">
        <f>ROW()</f>
        <v>33</v>
      </c>
    </row>
    <row r="34" spans="1:50" ht="18.95" customHeight="1">
      <c r="A34" s="2508"/>
      <c r="B34" s="1437">
        <f>IF(D26=1,AH34,IF(D26=2,AL34,IF(D26=3,AP34,IF(D26=4,AT34))))</f>
        <v>0</v>
      </c>
      <c r="C34" s="1438">
        <f>IF(D26=1,AI34,IF(D26=2,AM34,IF(D26=3,AQ34,IF(D26=4,AU34))))</f>
        <v>0</v>
      </c>
      <c r="D34" s="1510">
        <f>IF(D26=1,AG34,IF(D26=2,AK34,IF(D26=3,AO34,IF(D26=4,AS34))))</f>
        <v>0</v>
      </c>
      <c r="E34" s="1440" t="str">
        <f>IF(D26=1,"",IF(D34=F34,"",AD34))</f>
        <v/>
      </c>
      <c r="F34" s="1445" t="str">
        <f>IF(D26=1,"",IF(D26=2,AJ34,IF(D26=3,AN34,IF(D26=4,AR34))))</f>
        <v/>
      </c>
      <c r="G34" s="22" t="str">
        <f t="shared" si="0"/>
        <v>pour éviter tous problèmes de "copyright"</v>
      </c>
      <c r="H34" s="22"/>
      <c r="I34" s="2454"/>
      <c r="J34" s="1530">
        <v>5</v>
      </c>
      <c r="K34" s="15"/>
      <c r="L34" s="15"/>
      <c r="M34" s="15"/>
      <c r="N34" s="15"/>
      <c r="O34" s="15"/>
      <c r="P34" s="1529"/>
      <c r="Q34" s="2455"/>
      <c r="S34" s="1362"/>
      <c r="T34" s="1306"/>
      <c r="U34" s="1307"/>
      <c r="V34" s="19" t="s">
        <v>2284</v>
      </c>
      <c r="W34" s="1279">
        <f t="shared" si="1"/>
        <v>0</v>
      </c>
      <c r="X34" s="1289">
        <f>(W34/W27)*X27</f>
        <v>0</v>
      </c>
      <c r="Y34" s="18" t="str">
        <f>IF(ISBLANK(S34),"",(S34/W27)*X27)</f>
        <v/>
      </c>
      <c r="Z34" s="594">
        <f t="shared" si="10"/>
        <v>0</v>
      </c>
      <c r="AA34" s="1365">
        <f>W34/W27</f>
        <v>0</v>
      </c>
      <c r="AB34" s="630"/>
      <c r="AC34" s="624">
        <f>AB27</f>
        <v>0</v>
      </c>
      <c r="AD34" s="624">
        <f t="shared" si="7"/>
        <v>0</v>
      </c>
      <c r="AE34" s="1366">
        <f t="shared" si="8"/>
        <v>1</v>
      </c>
      <c r="AG34" s="1290">
        <f>((W34/W27)*AI27)</f>
        <v>0</v>
      </c>
      <c r="AH34" s="18">
        <f>IF(ISTEXT(S34),S34,IF(ISBLANK(S34),0,(S34/W27)*AI27))</f>
        <v>0</v>
      </c>
      <c r="AI34" s="17">
        <f t="shared" si="2"/>
        <v>0</v>
      </c>
      <c r="AJ34" s="1291">
        <f t="shared" si="3"/>
        <v>0</v>
      </c>
      <c r="AK34" s="1292">
        <f>AM27*AA34</f>
        <v>0</v>
      </c>
      <c r="AL34" s="18">
        <f>IF(ISBLANK(S34),0,(S34/W27)*AM27)</f>
        <v>0</v>
      </c>
      <c r="AM34" s="594">
        <f t="shared" si="4"/>
        <v>0</v>
      </c>
      <c r="AN34" s="1292">
        <f t="shared" si="9"/>
        <v>0</v>
      </c>
      <c r="AO34" s="1293">
        <f t="shared" si="5"/>
        <v>0</v>
      </c>
      <c r="AP34" s="18">
        <f>IF(ISBLANK(S34),0,(S34/W59)*AO60)</f>
        <v>0</v>
      </c>
      <c r="AQ34" s="594">
        <f t="shared" si="6"/>
        <v>0</v>
      </c>
      <c r="AR34" s="649" t="s">
        <v>588</v>
      </c>
      <c r="AS34" s="648" t="s">
        <v>589</v>
      </c>
      <c r="AT34" s="648" t="s">
        <v>587</v>
      </c>
      <c r="AU34" s="648">
        <v>3</v>
      </c>
      <c r="AW34" s="1580" t="s">
        <v>758</v>
      </c>
      <c r="AX34" s="1581">
        <f>ROW()</f>
        <v>34</v>
      </c>
    </row>
    <row r="35" spans="1:50" ht="18.95" customHeight="1">
      <c r="A35" s="2508"/>
      <c r="B35" s="1437">
        <f>IF(D26=1,AH35,IF(D26=2,AL35,IF(D26=3,AP35,IF(D26=4,AT35))))</f>
        <v>0</v>
      </c>
      <c r="C35" s="1438">
        <f>IF(D26=1,AI35,IF(D26=2,AM35,IF(D26=3,AQ35,IF(D26=4,AU35))))</f>
        <v>0</v>
      </c>
      <c r="D35" s="1510">
        <f>IF(D26=1,AG35,IF(D26=2,AK35,IF(D26=3,AO35,IF(D26=4,AS35))))</f>
        <v>0</v>
      </c>
      <c r="E35" s="1440" t="str">
        <f>IF(D26=1,"",IF(D35=F35,"",AD35))</f>
        <v/>
      </c>
      <c r="F35" s="1445" t="str">
        <f>IF(D26=1,"",IF(D26=2,AJ35,IF(D26=3,AN35,IF(D26=4,AR35))))</f>
        <v/>
      </c>
      <c r="G35" s="22" t="str">
        <f t="shared" si="0"/>
        <v>je vous laisse le plaisir de la saisie pour vous</v>
      </c>
      <c r="H35" s="22"/>
      <c r="I35" s="2454"/>
      <c r="J35" s="1530">
        <v>6</v>
      </c>
      <c r="K35" s="15"/>
      <c r="L35" s="15"/>
      <c r="M35" s="15"/>
      <c r="N35" s="15"/>
      <c r="O35" s="15"/>
      <c r="P35" s="1529"/>
      <c r="Q35" s="2455"/>
      <c r="S35" s="1362"/>
      <c r="T35" s="1306"/>
      <c r="U35" s="1307"/>
      <c r="V35" s="19" t="s">
        <v>2030</v>
      </c>
      <c r="W35" s="1279">
        <f t="shared" si="1"/>
        <v>0</v>
      </c>
      <c r="X35" s="1289">
        <f>(W35/W27)*X27</f>
        <v>0</v>
      </c>
      <c r="Y35" s="18" t="str">
        <f>IF(ISBLANK(S35),"",(S35/W27)*X27)</f>
        <v/>
      </c>
      <c r="Z35" s="594">
        <f t="shared" si="10"/>
        <v>0</v>
      </c>
      <c r="AA35" s="1365">
        <f>W35/W27</f>
        <v>0</v>
      </c>
      <c r="AB35" s="630"/>
      <c r="AC35" s="624">
        <f>AB27</f>
        <v>0</v>
      </c>
      <c r="AD35" s="624">
        <f t="shared" si="7"/>
        <v>0</v>
      </c>
      <c r="AE35" s="1366">
        <f t="shared" si="8"/>
        <v>1</v>
      </c>
      <c r="AG35" s="1290">
        <f>((W35/W27)*AI27)</f>
        <v>0</v>
      </c>
      <c r="AH35" s="18">
        <f>IF(ISTEXT(S35),S35,IF(ISBLANK(S35),0,(S35/W27)*AI27))</f>
        <v>0</v>
      </c>
      <c r="AI35" s="17">
        <f t="shared" si="2"/>
        <v>0</v>
      </c>
      <c r="AJ35" s="1291">
        <f t="shared" si="3"/>
        <v>0</v>
      </c>
      <c r="AK35" s="1292">
        <f>AM27*AA35</f>
        <v>0</v>
      </c>
      <c r="AL35" s="18">
        <f>IF(ISBLANK(S35),0,(S35/W27)*AM27)</f>
        <v>0</v>
      </c>
      <c r="AM35" s="594">
        <f t="shared" si="4"/>
        <v>0</v>
      </c>
      <c r="AN35" s="1292">
        <f t="shared" si="9"/>
        <v>0</v>
      </c>
      <c r="AO35" s="1293">
        <f t="shared" si="5"/>
        <v>0</v>
      </c>
      <c r="AP35" s="18">
        <f>IF(ISBLANK(S35),0,(S35/W59)*AO60)</f>
        <v>0</v>
      </c>
      <c r="AQ35" s="594">
        <f t="shared" si="6"/>
        <v>0</v>
      </c>
      <c r="AR35" s="649" t="s">
        <v>588</v>
      </c>
      <c r="AS35" s="648" t="s">
        <v>589</v>
      </c>
      <c r="AT35" s="648" t="s">
        <v>587</v>
      </c>
      <c r="AU35" s="648">
        <v>3</v>
      </c>
      <c r="AW35" s="1595" t="s">
        <v>758</v>
      </c>
      <c r="AX35" s="1596">
        <f>ROW()</f>
        <v>35</v>
      </c>
    </row>
    <row r="36" spans="1:50" ht="18.95" customHeight="1">
      <c r="A36" s="2508"/>
      <c r="B36" s="1437">
        <f>IF(D26=1,AH36,IF(D26=2,AL36,IF(D26=3,AP36,IF(D26=4,AT36))))</f>
        <v>0</v>
      </c>
      <c r="C36" s="1438">
        <f>IF(D26=1,AI36,IF(D26=2,AM36,IF(D26=3,AQ36,IF(D26=4,AU36))))</f>
        <v>0</v>
      </c>
      <c r="D36" s="1510">
        <f>IF(D26=1,AG36,IF(D26=2,AK36,IF(D26=3,AO36,IF(D26=4,AS36))))</f>
        <v>0</v>
      </c>
      <c r="E36" s="1440" t="str">
        <f>IF(D26=1,"",IF(D36=F36,"",AD36))</f>
        <v/>
      </c>
      <c r="F36" s="1445" t="str">
        <f>IF(D26=1,"",IF(D26=2,AJ36,IF(D26=3,AN36,IF(D26=4,AR36))))</f>
        <v/>
      </c>
      <c r="G36" s="22" t="str">
        <f t="shared" si="0"/>
        <v>entrainer colonne V</v>
      </c>
      <c r="H36" s="22"/>
      <c r="I36" s="2454"/>
      <c r="J36" s="1530">
        <v>7</v>
      </c>
      <c r="K36" s="15"/>
      <c r="L36" s="15"/>
      <c r="M36" s="15"/>
      <c r="N36" s="15"/>
      <c r="O36" s="15"/>
      <c r="P36" s="1529"/>
      <c r="Q36" s="2455"/>
      <c r="S36" s="1362"/>
      <c r="T36" s="1306"/>
      <c r="U36" s="1307"/>
      <c r="V36" s="19" t="s">
        <v>2031</v>
      </c>
      <c r="W36" s="1279">
        <f t="shared" si="1"/>
        <v>0</v>
      </c>
      <c r="X36" s="1289">
        <f>(W36/W27)*X27</f>
        <v>0</v>
      </c>
      <c r="Y36" s="18" t="str">
        <f>IF(ISBLANK(S36),"",(S36/W27)*X27)</f>
        <v/>
      </c>
      <c r="Z36" s="594">
        <f t="shared" si="10"/>
        <v>0</v>
      </c>
      <c r="AA36" s="1365">
        <f>W36/W27</f>
        <v>0</v>
      </c>
      <c r="AB36" s="630"/>
      <c r="AC36" s="624">
        <f>AB27</f>
        <v>0</v>
      </c>
      <c r="AD36" s="624">
        <f t="shared" si="7"/>
        <v>0</v>
      </c>
      <c r="AE36" s="1366">
        <f t="shared" si="8"/>
        <v>1</v>
      </c>
      <c r="AG36" s="1290">
        <f>((W36/W27)*AI27)</f>
        <v>0</v>
      </c>
      <c r="AH36" s="18">
        <f>IF(ISTEXT(S36),S36,IF(ISBLANK(S36),0,(S36/W27)*AI27))</f>
        <v>0</v>
      </c>
      <c r="AI36" s="17">
        <f t="shared" si="2"/>
        <v>0</v>
      </c>
      <c r="AJ36" s="1291">
        <f t="shared" si="3"/>
        <v>0</v>
      </c>
      <c r="AK36" s="1292">
        <f>AM27*AA36</f>
        <v>0</v>
      </c>
      <c r="AL36" s="18">
        <f>IF(ISBLANK(S36),0,(S36/W27)*AM27)</f>
        <v>0</v>
      </c>
      <c r="AM36" s="594">
        <f t="shared" si="4"/>
        <v>0</v>
      </c>
      <c r="AN36" s="1292">
        <f t="shared" si="9"/>
        <v>0</v>
      </c>
      <c r="AO36" s="1293">
        <f t="shared" si="5"/>
        <v>0</v>
      </c>
      <c r="AP36" s="18">
        <f>IF(ISBLANK(S36),0,(S36/W59)*AO60)</f>
        <v>0</v>
      </c>
      <c r="AQ36" s="594">
        <f t="shared" si="6"/>
        <v>0</v>
      </c>
      <c r="AR36" s="649" t="s">
        <v>588</v>
      </c>
      <c r="AS36" s="648" t="s">
        <v>589</v>
      </c>
      <c r="AT36" s="648" t="s">
        <v>587</v>
      </c>
      <c r="AU36" s="648">
        <v>3</v>
      </c>
      <c r="AW36" s="1580" t="s">
        <v>758</v>
      </c>
      <c r="AX36" s="1581">
        <f>ROW()</f>
        <v>36</v>
      </c>
    </row>
    <row r="37" spans="1:50" ht="18.95" customHeight="1">
      <c r="A37" s="2508"/>
      <c r="B37" s="1437">
        <f>IF(D26=1,AH37,IF(D26=2,AL37,IF(D26=3,AP37,IF(D26=4,AT37))))</f>
        <v>0</v>
      </c>
      <c r="C37" s="1438">
        <f>IF(D26=1,AI37,IF(D26=2,AM37,IF(D26=3,AQ37,IF(D26=4,AU37))))</f>
        <v>0</v>
      </c>
      <c r="D37" s="1510">
        <f>IF(D26=1,AG37,IF(D26=2,AK37,IF(D26=3,AO37,IF(D26=4,AS37))))</f>
        <v>0</v>
      </c>
      <c r="E37" s="1440" t="str">
        <f>IF(D26=1,"",IF(D37=F37,"",AD37))</f>
        <v/>
      </c>
      <c r="F37" s="1445" t="str">
        <f>IF(D26=1,"",IF(D26=2,AJ37,IF(D26=3,AN37,IF(D26=4,AR37))))</f>
        <v/>
      </c>
      <c r="G37" s="22">
        <f t="shared" si="0"/>
        <v>0</v>
      </c>
      <c r="H37" s="22"/>
      <c r="I37" s="2454"/>
      <c r="J37" s="1530">
        <v>8</v>
      </c>
      <c r="K37" s="15"/>
      <c r="L37" s="15"/>
      <c r="M37" s="15"/>
      <c r="N37" s="15"/>
      <c r="O37" s="15"/>
      <c r="P37" s="1529"/>
      <c r="Q37" s="2455"/>
      <c r="S37" s="1362"/>
      <c r="T37" s="1306"/>
      <c r="U37" s="1307"/>
      <c r="V37" s="19"/>
      <c r="W37" s="1279">
        <f t="shared" si="1"/>
        <v>0</v>
      </c>
      <c r="X37" s="1289">
        <f>(W37/W27)*X27</f>
        <v>0</v>
      </c>
      <c r="Y37" s="18" t="str">
        <f>IF(ISBLANK(S37),"",(S37/W27)*X27)</f>
        <v/>
      </c>
      <c r="Z37" s="594">
        <f t="shared" si="10"/>
        <v>0</v>
      </c>
      <c r="AA37" s="1365">
        <f>W37/W27</f>
        <v>0</v>
      </c>
      <c r="AB37" s="630"/>
      <c r="AC37" s="624">
        <f>AB27</f>
        <v>0</v>
      </c>
      <c r="AD37" s="624">
        <f t="shared" si="7"/>
        <v>0</v>
      </c>
      <c r="AE37" s="1366">
        <f t="shared" si="8"/>
        <v>1</v>
      </c>
      <c r="AG37" s="1290">
        <f>((W37/W27)*AI27)</f>
        <v>0</v>
      </c>
      <c r="AH37" s="18">
        <f>IF(ISTEXT(S37),S37,IF(ISBLANK(S37),0,(S37/W27)*AI27))</f>
        <v>0</v>
      </c>
      <c r="AI37" s="17">
        <f t="shared" si="2"/>
        <v>0</v>
      </c>
      <c r="AJ37" s="1291">
        <f t="shared" si="3"/>
        <v>0</v>
      </c>
      <c r="AK37" s="1292">
        <f>AM27*AA37</f>
        <v>0</v>
      </c>
      <c r="AL37" s="18">
        <f>IF(ISBLANK(S37),0,(S37/W27)*AM27)</f>
        <v>0</v>
      </c>
      <c r="AM37" s="594">
        <f t="shared" si="4"/>
        <v>0</v>
      </c>
      <c r="AN37" s="1292">
        <f t="shared" si="9"/>
        <v>0</v>
      </c>
      <c r="AO37" s="1293">
        <f t="shared" si="5"/>
        <v>0</v>
      </c>
      <c r="AP37" s="18">
        <f>IF(ISBLANK(S37),0,(S37/W59)*AO60)</f>
        <v>0</v>
      </c>
      <c r="AQ37" s="594">
        <f t="shared" si="6"/>
        <v>0</v>
      </c>
      <c r="AR37" s="649" t="s">
        <v>588</v>
      </c>
      <c r="AS37" s="648" t="s">
        <v>589</v>
      </c>
      <c r="AT37" s="648" t="s">
        <v>587</v>
      </c>
      <c r="AU37" s="648">
        <v>3</v>
      </c>
      <c r="AW37" s="1595" t="s">
        <v>758</v>
      </c>
      <c r="AX37" s="1596">
        <f>ROW()</f>
        <v>37</v>
      </c>
    </row>
    <row r="38" spans="1:50" ht="18.95" customHeight="1">
      <c r="A38" s="2508"/>
      <c r="B38" s="1437">
        <f>IF(D26=1,AH38,IF(D26=2,AL38,IF(D26=3,AP38,IF(D26=4,AT38))))</f>
        <v>0</v>
      </c>
      <c r="C38" s="1438">
        <f>IF(D26=1,AI38,IF(D26=2,AM38,IF(D26=3,AQ38,IF(D26=4,AU38))))</f>
        <v>0</v>
      </c>
      <c r="D38" s="1510">
        <f>IF(D26=1,AG38,IF(D26=2,AK38,IF(D26=3,AO38,IF(D26=4,AS38))))</f>
        <v>0</v>
      </c>
      <c r="E38" s="1440" t="str">
        <f>IF(D26=1,"",IF(D38=F38,"",AD38))</f>
        <v/>
      </c>
      <c r="F38" s="1445" t="str">
        <f>IF(D26=1,"",IF(D26=2,AJ38,IF(D26=3,AN38,IF(D26=4,AR38))))</f>
        <v/>
      </c>
      <c r="G38" s="22">
        <f t="shared" si="0"/>
        <v>0</v>
      </c>
      <c r="H38" s="22"/>
      <c r="I38" s="2454"/>
      <c r="J38" s="1530">
        <v>9</v>
      </c>
      <c r="K38" s="15"/>
      <c r="L38" s="15"/>
      <c r="M38" s="15"/>
      <c r="N38" s="15"/>
      <c r="O38" s="15"/>
      <c r="P38" s="1529"/>
      <c r="Q38" s="2455"/>
      <c r="S38" s="1362"/>
      <c r="T38" s="1306"/>
      <c r="U38" s="1307"/>
      <c r="V38" s="19"/>
      <c r="W38" s="1279">
        <f t="shared" si="1"/>
        <v>0</v>
      </c>
      <c r="X38" s="1289">
        <f>(W38/W27)*X27</f>
        <v>0</v>
      </c>
      <c r="Y38" s="18" t="str">
        <f>IF(ISBLANK(S38),"",(S38/W27)*X27)</f>
        <v/>
      </c>
      <c r="Z38" s="594">
        <f t="shared" si="10"/>
        <v>0</v>
      </c>
      <c r="AA38" s="1365">
        <f>W38/W27</f>
        <v>0</v>
      </c>
      <c r="AB38" s="630"/>
      <c r="AC38" s="624">
        <f>AB27</f>
        <v>0</v>
      </c>
      <c r="AD38" s="624">
        <f t="shared" si="7"/>
        <v>0</v>
      </c>
      <c r="AE38" s="1366">
        <f t="shared" si="8"/>
        <v>1</v>
      </c>
      <c r="AG38" s="1290">
        <f>((W38/W27)*AI27)</f>
        <v>0</v>
      </c>
      <c r="AH38" s="18">
        <f>IF(ISTEXT(S38),S38,IF(ISBLANK(S38),0,(S38/W27)*AI27))</f>
        <v>0</v>
      </c>
      <c r="AI38" s="17">
        <f t="shared" si="2"/>
        <v>0</v>
      </c>
      <c r="AJ38" s="1291">
        <f t="shared" si="3"/>
        <v>0</v>
      </c>
      <c r="AK38" s="1292">
        <f>AM27*AA38</f>
        <v>0</v>
      </c>
      <c r="AL38" s="18">
        <f>IF(ISBLANK(S38),0,(S38/W27)*AM27)</f>
        <v>0</v>
      </c>
      <c r="AM38" s="594">
        <f t="shared" si="4"/>
        <v>0</v>
      </c>
      <c r="AN38" s="1292">
        <f t="shared" si="9"/>
        <v>0</v>
      </c>
      <c r="AO38" s="1293">
        <f t="shared" si="5"/>
        <v>0</v>
      </c>
      <c r="AP38" s="18">
        <f>IF(ISBLANK(S38),0,(S38/W59)*AO60)</f>
        <v>0</v>
      </c>
      <c r="AQ38" s="594">
        <f t="shared" si="6"/>
        <v>0</v>
      </c>
      <c r="AR38" s="649" t="s">
        <v>588</v>
      </c>
      <c r="AS38" s="648" t="s">
        <v>589</v>
      </c>
      <c r="AT38" s="648" t="s">
        <v>587</v>
      </c>
      <c r="AU38" s="648">
        <v>3</v>
      </c>
      <c r="AW38" s="1580" t="s">
        <v>758</v>
      </c>
      <c r="AX38" s="1581">
        <f>ROW()</f>
        <v>38</v>
      </c>
    </row>
    <row r="39" spans="1:50" ht="18.95" customHeight="1">
      <c r="A39" s="2508"/>
      <c r="B39" s="1437">
        <f>IF(D26=1,AH39,IF(D26=2,AL39,IF(D26=3,AP39,IF(D26=4,AT39))))</f>
        <v>0</v>
      </c>
      <c r="C39" s="1438">
        <f>IF(D26=1,AI39,IF(D26=2,AM39,IF(D26=3,AQ39,IF(D26=4,AU39))))</f>
        <v>0</v>
      </c>
      <c r="D39" s="1510">
        <f>IF(D26=1,AG39,IF(D26=2,AK39,IF(D26=3,AO39,IF(D26=4,AS39))))</f>
        <v>0</v>
      </c>
      <c r="E39" s="1440" t="str">
        <f>IF(D26=1,"",IF(D39=F39,"",AD39))</f>
        <v/>
      </c>
      <c r="F39" s="1445" t="str">
        <f>IF(D26=1,"",IF(D26=2,AJ39,IF(D26=3,AN39,IF(D26=4,AR39))))</f>
        <v/>
      </c>
      <c r="G39" s="22">
        <f t="shared" si="0"/>
        <v>0</v>
      </c>
      <c r="H39" s="22"/>
      <c r="I39" s="2454"/>
      <c r="J39" s="1530">
        <v>10</v>
      </c>
      <c r="K39" s="15"/>
      <c r="L39" s="15"/>
      <c r="M39" s="15"/>
      <c r="N39" s="15"/>
      <c r="O39" s="15"/>
      <c r="P39" s="1529"/>
      <c r="Q39" s="2455"/>
      <c r="S39" s="1362"/>
      <c r="T39" s="1306"/>
      <c r="U39" s="1307"/>
      <c r="V39" s="19"/>
      <c r="W39" s="1279">
        <f t="shared" si="1"/>
        <v>0</v>
      </c>
      <c r="X39" s="1289">
        <f>(W39/W27)*X27</f>
        <v>0</v>
      </c>
      <c r="Y39" s="18" t="str">
        <f>IF(ISBLANK(S39),"",(S39/W27)*X27)</f>
        <v/>
      </c>
      <c r="Z39" s="594">
        <f t="shared" si="10"/>
        <v>0</v>
      </c>
      <c r="AA39" s="1365">
        <f>W39/W27</f>
        <v>0</v>
      </c>
      <c r="AB39" s="630"/>
      <c r="AC39" s="624">
        <f>AB27</f>
        <v>0</v>
      </c>
      <c r="AD39" s="624">
        <f t="shared" si="7"/>
        <v>0</v>
      </c>
      <c r="AE39" s="1366">
        <f t="shared" si="8"/>
        <v>1</v>
      </c>
      <c r="AG39" s="1290">
        <f>((W39/W27)*AI27)</f>
        <v>0</v>
      </c>
      <c r="AH39" s="18">
        <f>IF(ISTEXT(S39),S39,IF(ISBLANK(S39),0,(S39/W27)*AI27))</f>
        <v>0</v>
      </c>
      <c r="AI39" s="17">
        <f t="shared" si="2"/>
        <v>0</v>
      </c>
      <c r="AJ39" s="1291">
        <f t="shared" si="3"/>
        <v>0</v>
      </c>
      <c r="AK39" s="1292">
        <f>AM27*AA39</f>
        <v>0</v>
      </c>
      <c r="AL39" s="18">
        <f>IF(ISBLANK(S39),0,(S39/W27)*AM27)</f>
        <v>0</v>
      </c>
      <c r="AM39" s="594">
        <f t="shared" si="4"/>
        <v>0</v>
      </c>
      <c r="AN39" s="1292">
        <f t="shared" si="9"/>
        <v>0</v>
      </c>
      <c r="AO39" s="1293">
        <f t="shared" si="5"/>
        <v>0</v>
      </c>
      <c r="AP39" s="18">
        <f>IF(ISBLANK(S39),0,(S39/W59)*AO60)</f>
        <v>0</v>
      </c>
      <c r="AQ39" s="594">
        <f t="shared" si="6"/>
        <v>0</v>
      </c>
      <c r="AR39" s="649" t="s">
        <v>588</v>
      </c>
      <c r="AS39" s="648" t="s">
        <v>589</v>
      </c>
      <c r="AT39" s="648" t="s">
        <v>587</v>
      </c>
      <c r="AU39" s="648">
        <v>3</v>
      </c>
      <c r="AW39" s="1595" t="s">
        <v>758</v>
      </c>
      <c r="AX39" s="1596">
        <f>ROW()</f>
        <v>39</v>
      </c>
    </row>
    <row r="40" spans="1:50" ht="18.95" customHeight="1">
      <c r="A40" s="2508"/>
      <c r="B40" s="1437">
        <f>IF(D26=1,AH40,IF(D26=2,AL40,IF(D26=3,AP40,IF(D26=4,AT40))))</f>
        <v>0</v>
      </c>
      <c r="C40" s="1438">
        <f>IF(D26=1,AI40,IF(D26=2,AM40,IF(D26=3,AQ40,IF(D26=4,AU40))))</f>
        <v>0</v>
      </c>
      <c r="D40" s="1510">
        <f>IF(D26=1,AG40,IF(D26=2,AK40,IF(D26=3,AO40,IF(D26=4,AS40))))</f>
        <v>0</v>
      </c>
      <c r="E40" s="1440" t="str">
        <f>IF(D26=1,"",IF(D40=F40,"",AD40))</f>
        <v/>
      </c>
      <c r="F40" s="1445" t="str">
        <f>IF(D26=1,"",IF(D26=2,AJ40,IF(D26=3,AN40,IF(D26=4,AR40))))</f>
        <v/>
      </c>
      <c r="G40" s="22">
        <f t="shared" si="0"/>
        <v>0</v>
      </c>
      <c r="H40" s="22"/>
      <c r="I40" s="2454"/>
      <c r="J40" s="1530">
        <v>11</v>
      </c>
      <c r="K40" s="15"/>
      <c r="L40" s="15"/>
      <c r="M40" s="15"/>
      <c r="N40" s="15"/>
      <c r="O40" s="15"/>
      <c r="P40" s="1529"/>
      <c r="Q40" s="2455"/>
      <c r="S40" s="1362"/>
      <c r="T40" s="1306"/>
      <c r="U40" s="1307"/>
      <c r="V40" s="19"/>
      <c r="W40" s="1279">
        <f t="shared" si="1"/>
        <v>0</v>
      </c>
      <c r="X40" s="1289">
        <f>(W40/W27)*X27</f>
        <v>0</v>
      </c>
      <c r="Y40" s="18" t="str">
        <f>IF(ISBLANK(S40),"",(S40/W27)*X27)</f>
        <v/>
      </c>
      <c r="Z40" s="594">
        <f t="shared" si="10"/>
        <v>0</v>
      </c>
      <c r="AA40" s="1365">
        <f>W40/W27</f>
        <v>0</v>
      </c>
      <c r="AB40" s="630"/>
      <c r="AC40" s="624">
        <f>AB27</f>
        <v>0</v>
      </c>
      <c r="AD40" s="624">
        <f t="shared" si="7"/>
        <v>0</v>
      </c>
      <c r="AE40" s="1366">
        <f t="shared" si="8"/>
        <v>1</v>
      </c>
      <c r="AG40" s="1290">
        <f>((W40/W27)*AI27)</f>
        <v>0</v>
      </c>
      <c r="AH40" s="18">
        <f>IF(ISTEXT(S40),S40,IF(ISBLANK(S40),0,(S40/W27)*AI27))</f>
        <v>0</v>
      </c>
      <c r="AI40" s="17">
        <f t="shared" si="2"/>
        <v>0</v>
      </c>
      <c r="AJ40" s="1291">
        <f t="shared" si="3"/>
        <v>0</v>
      </c>
      <c r="AK40" s="1292">
        <f>AM27*AA40</f>
        <v>0</v>
      </c>
      <c r="AL40" s="18">
        <f>IF(ISBLANK(S40),0,(S40/W27)*AM27)</f>
        <v>0</v>
      </c>
      <c r="AM40" s="594">
        <f t="shared" si="4"/>
        <v>0</v>
      </c>
      <c r="AN40" s="1292">
        <f t="shared" si="9"/>
        <v>0</v>
      </c>
      <c r="AO40" s="1293">
        <f t="shared" si="5"/>
        <v>0</v>
      </c>
      <c r="AP40" s="18">
        <f>IF(ISBLANK(S40),0,(S40/W59)*AO60)</f>
        <v>0</v>
      </c>
      <c r="AQ40" s="594">
        <f t="shared" si="6"/>
        <v>0</v>
      </c>
      <c r="AR40" s="649" t="s">
        <v>588</v>
      </c>
      <c r="AS40" s="648" t="s">
        <v>589</v>
      </c>
      <c r="AT40" s="648" t="s">
        <v>587</v>
      </c>
      <c r="AU40" s="648">
        <v>3</v>
      </c>
      <c r="AW40" s="1580" t="s">
        <v>758</v>
      </c>
      <c r="AX40" s="1581">
        <f>ROW()</f>
        <v>40</v>
      </c>
    </row>
    <row r="41" spans="1:50" ht="18.95" customHeight="1">
      <c r="A41" s="2508"/>
      <c r="B41" s="1437">
        <f>IF(D26=1,AH41,IF(D26=2,AL41,IF(D26=3,AP41,IF(D26=4,AT41))))</f>
        <v>0</v>
      </c>
      <c r="C41" s="1438">
        <f>IF(D26=1,AI41,IF(D26=2,AM41,IF(D26=3,AQ41,IF(D26=4,AU41))))</f>
        <v>0</v>
      </c>
      <c r="D41" s="1510">
        <f>IF(D26=1,AG41,IF(D26=2,AK41,IF(D26=3,AO41,IF(D26=4,AS41))))</f>
        <v>0</v>
      </c>
      <c r="E41" s="1440" t="str">
        <f>IF(D26=1,"",IF(D41=F41,"",AD41))</f>
        <v/>
      </c>
      <c r="F41" s="1445" t="str">
        <f>IF(D26=1,"",IF(D26=2,AJ41,IF(D26=3,AN41,IF(D26=4,AR41))))</f>
        <v/>
      </c>
      <c r="G41" s="22">
        <f t="shared" si="0"/>
        <v>0</v>
      </c>
      <c r="H41" s="22"/>
      <c r="I41" s="2454"/>
      <c r="J41" s="1530">
        <v>12</v>
      </c>
      <c r="K41" s="15"/>
      <c r="L41" s="15"/>
      <c r="M41" s="15"/>
      <c r="N41" s="15"/>
      <c r="O41" s="15"/>
      <c r="P41" s="1529"/>
      <c r="Q41" s="2455"/>
      <c r="S41" s="1362"/>
      <c r="T41" s="1306"/>
      <c r="U41" s="1307"/>
      <c r="V41" s="19"/>
      <c r="W41" s="1279">
        <f t="shared" si="1"/>
        <v>0</v>
      </c>
      <c r="X41" s="1289">
        <f>(W41/W27)*X27</f>
        <v>0</v>
      </c>
      <c r="Y41" s="18" t="str">
        <f>IF(ISBLANK(S41),"",(S41/W27)*X27)</f>
        <v/>
      </c>
      <c r="Z41" s="594">
        <f t="shared" si="10"/>
        <v>0</v>
      </c>
      <c r="AA41" s="1365">
        <f>W41/W27</f>
        <v>0</v>
      </c>
      <c r="AB41" s="630"/>
      <c r="AC41" s="624">
        <f>AB27</f>
        <v>0</v>
      </c>
      <c r="AD41" s="624">
        <f t="shared" si="7"/>
        <v>0</v>
      </c>
      <c r="AE41" s="1366">
        <f t="shared" si="8"/>
        <v>1</v>
      </c>
      <c r="AG41" s="1290">
        <f>((W41/W27)*AI27)</f>
        <v>0</v>
      </c>
      <c r="AH41" s="18">
        <f>IF(ISTEXT(S41),S41,IF(ISBLANK(S41),0,(S41/W27)*AI27))</f>
        <v>0</v>
      </c>
      <c r="AI41" s="17">
        <f t="shared" si="2"/>
        <v>0</v>
      </c>
      <c r="AJ41" s="1291">
        <f t="shared" si="3"/>
        <v>0</v>
      </c>
      <c r="AK41" s="1292">
        <f>AM27*AA41</f>
        <v>0</v>
      </c>
      <c r="AL41" s="18">
        <f>IF(ISBLANK(S41),0,(S41/W27)*AM27)</f>
        <v>0</v>
      </c>
      <c r="AM41" s="594">
        <f t="shared" si="4"/>
        <v>0</v>
      </c>
      <c r="AN41" s="1292">
        <f t="shared" si="9"/>
        <v>0</v>
      </c>
      <c r="AO41" s="1293">
        <f t="shared" si="5"/>
        <v>0</v>
      </c>
      <c r="AP41" s="18">
        <f>IF(ISBLANK(S41),0,(S41/W59)*AO60)</f>
        <v>0</v>
      </c>
      <c r="AQ41" s="594">
        <f t="shared" si="6"/>
        <v>0</v>
      </c>
      <c r="AR41" s="649" t="s">
        <v>588</v>
      </c>
      <c r="AS41" s="648" t="s">
        <v>589</v>
      </c>
      <c r="AT41" s="648" t="s">
        <v>587</v>
      </c>
      <c r="AU41" s="648">
        <v>3</v>
      </c>
      <c r="AW41" s="1595" t="s">
        <v>758</v>
      </c>
      <c r="AX41" s="1596">
        <f>ROW()</f>
        <v>41</v>
      </c>
    </row>
    <row r="42" spans="1:50" ht="18.95" customHeight="1">
      <c r="A42" s="2508"/>
      <c r="B42" s="1437">
        <f>IF(D26=1,AH42,IF(D26=2,AL42,IF(D26=3,AP42,IF(D26=4,AT42))))</f>
        <v>0</v>
      </c>
      <c r="C42" s="1438">
        <f>IF(D26=1,AI42,IF(D26=2,AM42,IF(D26=3,AQ42,IF(D26=4,AU42))))</f>
        <v>0</v>
      </c>
      <c r="D42" s="1510">
        <f>IF(D26=1,AG42,IF(D26=2,AK42,IF(D26=3,AO42,IF(D26=4,AS42))))</f>
        <v>0</v>
      </c>
      <c r="E42" s="1440" t="str">
        <f>IF(D26=1,"",IF(D42=F42,"",AD42))</f>
        <v/>
      </c>
      <c r="F42" s="1445" t="str">
        <f>IF(D26=1,"",IF(D26=2,AJ42,IF(D26=3,AN42,IF(D26=4,AR42))))</f>
        <v/>
      </c>
      <c r="G42" s="22">
        <f t="shared" si="0"/>
        <v>0</v>
      </c>
      <c r="H42" s="22"/>
      <c r="I42" s="2454"/>
      <c r="J42" s="1530">
        <v>13</v>
      </c>
      <c r="K42" s="15"/>
      <c r="L42" s="15"/>
      <c r="M42" s="15"/>
      <c r="N42" s="15"/>
      <c r="O42" s="15"/>
      <c r="P42" s="1529"/>
      <c r="Q42" s="2455"/>
      <c r="S42" s="1362"/>
      <c r="T42" s="1306"/>
      <c r="U42" s="1307"/>
      <c r="V42" s="19"/>
      <c r="W42" s="1279">
        <f t="shared" si="1"/>
        <v>0</v>
      </c>
      <c r="X42" s="1289">
        <f>(W42/W27)*X27</f>
        <v>0</v>
      </c>
      <c r="Y42" s="18" t="str">
        <f>IF(ISBLANK(S42),"",(S42/W27)*X27)</f>
        <v/>
      </c>
      <c r="Z42" s="594">
        <f t="shared" si="10"/>
        <v>0</v>
      </c>
      <c r="AA42" s="1365">
        <f>W42/W27</f>
        <v>0</v>
      </c>
      <c r="AB42" s="630"/>
      <c r="AC42" s="624">
        <f>AB27</f>
        <v>0</v>
      </c>
      <c r="AD42" s="624">
        <f t="shared" si="7"/>
        <v>0</v>
      </c>
      <c r="AE42" s="1366">
        <f t="shared" si="8"/>
        <v>1</v>
      </c>
      <c r="AG42" s="1290">
        <f>((W42/W27)*AI27)</f>
        <v>0</v>
      </c>
      <c r="AH42" s="18">
        <f>IF(ISTEXT(S42),S42,IF(ISBLANK(S42),0,(S42/W27)*AI27))</f>
        <v>0</v>
      </c>
      <c r="AI42" s="17">
        <f t="shared" si="2"/>
        <v>0</v>
      </c>
      <c r="AJ42" s="1291">
        <f t="shared" si="3"/>
        <v>0</v>
      </c>
      <c r="AK42" s="1292">
        <f>AM27*AA42</f>
        <v>0</v>
      </c>
      <c r="AL42" s="18">
        <f>IF(ISBLANK(S42),0,(S42/W27)*AM27)</f>
        <v>0</v>
      </c>
      <c r="AM42" s="594">
        <f t="shared" si="4"/>
        <v>0</v>
      </c>
      <c r="AN42" s="1292">
        <f t="shared" si="9"/>
        <v>0</v>
      </c>
      <c r="AO42" s="1293">
        <f t="shared" si="5"/>
        <v>0</v>
      </c>
      <c r="AP42" s="18">
        <f>IF(ISBLANK(S42),0,(S42/W59)*AO60)</f>
        <v>0</v>
      </c>
      <c r="AQ42" s="594">
        <f t="shared" si="6"/>
        <v>0</v>
      </c>
      <c r="AR42" s="649" t="s">
        <v>588</v>
      </c>
      <c r="AS42" s="648" t="s">
        <v>589</v>
      </c>
      <c r="AT42" s="648" t="s">
        <v>587</v>
      </c>
      <c r="AU42" s="648">
        <v>3</v>
      </c>
      <c r="AW42" s="1580" t="s">
        <v>758</v>
      </c>
      <c r="AX42" s="1581">
        <f>ROW()</f>
        <v>42</v>
      </c>
    </row>
    <row r="43" spans="1:50" ht="18.95" customHeight="1">
      <c r="A43" s="2508"/>
      <c r="B43" s="1437">
        <f>IF(D26=1,AH43,IF(D26=2,AL43,IF(D26=3,AP43,IF(D26=4,AT43))))</f>
        <v>0</v>
      </c>
      <c r="C43" s="1438">
        <f>IF(D26=1,AI43,IF(D26=2,AM43,IF(D26=3,AQ43,IF(D26=4,AU43))))</f>
        <v>0</v>
      </c>
      <c r="D43" s="1510">
        <f>IF(D26=1,AG43,IF(D26=2,AK43,IF(D26=3,AO43,IF(D26=4,AS43))))</f>
        <v>0</v>
      </c>
      <c r="E43" s="1440" t="str">
        <f>IF(D26=1,"",IF(D43=F43,"",AD43))</f>
        <v/>
      </c>
      <c r="F43" s="1445" t="str">
        <f>IF(D26=1,"",IF(D26=2,AJ43,IF(D26=3,AN43,IF(D26=4,AR43))))</f>
        <v/>
      </c>
      <c r="G43" s="22">
        <f t="shared" si="0"/>
        <v>0</v>
      </c>
      <c r="H43" s="22"/>
      <c r="I43" s="2454"/>
      <c r="J43" s="1530">
        <v>14</v>
      </c>
      <c r="K43" s="15"/>
      <c r="L43" s="15"/>
      <c r="M43" s="15"/>
      <c r="N43" s="15"/>
      <c r="O43" s="15"/>
      <c r="P43" s="1529"/>
      <c r="Q43" s="2455"/>
      <c r="S43" s="1362"/>
      <c r="T43" s="1306"/>
      <c r="U43" s="1307"/>
      <c r="V43" s="19"/>
      <c r="W43" s="1279">
        <f t="shared" si="1"/>
        <v>0</v>
      </c>
      <c r="X43" s="1289">
        <f>(W43/W27)*X27</f>
        <v>0</v>
      </c>
      <c r="Y43" s="18" t="str">
        <f>IF(ISBLANK(S43),"",(S43/W27)*X27)</f>
        <v/>
      </c>
      <c r="Z43" s="594">
        <f t="shared" si="10"/>
        <v>0</v>
      </c>
      <c r="AA43" s="1365">
        <f>W43/W27</f>
        <v>0</v>
      </c>
      <c r="AB43" s="630"/>
      <c r="AC43" s="624">
        <f>AB27</f>
        <v>0</v>
      </c>
      <c r="AD43" s="624">
        <f t="shared" si="7"/>
        <v>0</v>
      </c>
      <c r="AE43" s="1366">
        <f t="shared" si="8"/>
        <v>1</v>
      </c>
      <c r="AG43" s="1290">
        <f>((W43/W27)*AI27)</f>
        <v>0</v>
      </c>
      <c r="AH43" s="18">
        <f>IF(ISTEXT(S43),S43,IF(ISBLANK(S43),0,(S43/W27)*AI27))</f>
        <v>0</v>
      </c>
      <c r="AI43" s="17">
        <f t="shared" si="2"/>
        <v>0</v>
      </c>
      <c r="AJ43" s="1291">
        <f t="shared" si="3"/>
        <v>0</v>
      </c>
      <c r="AK43" s="1292">
        <f>AM27*AA43</f>
        <v>0</v>
      </c>
      <c r="AL43" s="18">
        <f>IF(ISBLANK(S43),0,(S43/W27)*AM27)</f>
        <v>0</v>
      </c>
      <c r="AM43" s="594">
        <f t="shared" si="4"/>
        <v>0</v>
      </c>
      <c r="AN43" s="1292">
        <f t="shared" si="9"/>
        <v>0</v>
      </c>
      <c r="AO43" s="1293">
        <f t="shared" si="5"/>
        <v>0</v>
      </c>
      <c r="AP43" s="18">
        <f>IF(ISBLANK(S43),0,(S43/W59)*AO60)</f>
        <v>0</v>
      </c>
      <c r="AQ43" s="594">
        <f t="shared" si="6"/>
        <v>0</v>
      </c>
      <c r="AR43" s="649" t="s">
        <v>588</v>
      </c>
      <c r="AS43" s="648" t="s">
        <v>589</v>
      </c>
      <c r="AT43" s="648" t="s">
        <v>587</v>
      </c>
      <c r="AU43" s="648">
        <v>3</v>
      </c>
      <c r="AW43" s="1595" t="s">
        <v>758</v>
      </c>
      <c r="AX43" s="1596">
        <f>ROW()</f>
        <v>43</v>
      </c>
    </row>
    <row r="44" spans="1:50" ht="18.95" customHeight="1">
      <c r="A44" s="2508"/>
      <c r="B44" s="1437">
        <f>IF(D26=1,AH44,IF(D26=2,AL44,IF(D26=3,AP44,IF(D26=4,AT44))))</f>
        <v>0</v>
      </c>
      <c r="C44" s="1438">
        <f>IF(D26=1,AI44,IF(D26=2,AM44,IF(D26=3,AQ44,IF(D26=4,AU44))))</f>
        <v>0</v>
      </c>
      <c r="D44" s="1510">
        <f>IF(D26=1,AG44,IF(D26=2,AK44,IF(D26=3,AO44,IF(D26=4,AS44))))</f>
        <v>0</v>
      </c>
      <c r="E44" s="1440" t="str">
        <f>IF(D26=1,"",IF(D44=F44,"",AD44))</f>
        <v/>
      </c>
      <c r="F44" s="1445" t="str">
        <f>IF(D26=1,"",IF(D26=2,AJ44,IF(D26=3,AN44,IF(D26=4,AR44))))</f>
        <v/>
      </c>
      <c r="G44" s="22">
        <f t="shared" si="0"/>
        <v>0</v>
      </c>
      <c r="H44" s="22"/>
      <c r="I44" s="2454"/>
      <c r="J44" s="1530">
        <v>15</v>
      </c>
      <c r="K44" s="15"/>
      <c r="L44" s="15"/>
      <c r="M44" s="15"/>
      <c r="N44" s="15"/>
      <c r="O44" s="15"/>
      <c r="P44" s="1529"/>
      <c r="Q44" s="2455"/>
      <c r="S44" s="1362"/>
      <c r="T44" s="1306"/>
      <c r="U44" s="1307"/>
      <c r="V44" s="19"/>
      <c r="W44" s="1279">
        <f t="shared" si="1"/>
        <v>0</v>
      </c>
      <c r="X44" s="1289">
        <f>(W44/W27)*X27</f>
        <v>0</v>
      </c>
      <c r="Y44" s="18" t="str">
        <f>IF(ISBLANK(S44),"",(S44/W27)*X27)</f>
        <v/>
      </c>
      <c r="Z44" s="594">
        <f t="shared" si="10"/>
        <v>0</v>
      </c>
      <c r="AA44" s="1365">
        <f>W44/W27</f>
        <v>0</v>
      </c>
      <c r="AB44" s="630"/>
      <c r="AC44" s="624">
        <f>AB27</f>
        <v>0</v>
      </c>
      <c r="AD44" s="624">
        <f t="shared" si="7"/>
        <v>0</v>
      </c>
      <c r="AE44" s="1366">
        <f t="shared" si="8"/>
        <v>1</v>
      </c>
      <c r="AG44" s="1290">
        <f>((W44/W27)*AI27)</f>
        <v>0</v>
      </c>
      <c r="AH44" s="18">
        <f>IF(ISTEXT(S44),S44,IF(ISBLANK(S44),0,(S44/W27)*AI27))</f>
        <v>0</v>
      </c>
      <c r="AI44" s="17">
        <f t="shared" si="2"/>
        <v>0</v>
      </c>
      <c r="AJ44" s="1291">
        <f t="shared" si="3"/>
        <v>0</v>
      </c>
      <c r="AK44" s="1292">
        <f>AM27*AA44</f>
        <v>0</v>
      </c>
      <c r="AL44" s="18">
        <f>IF(ISBLANK(S44),0,(S44/W27)*AM27)</f>
        <v>0</v>
      </c>
      <c r="AM44" s="594">
        <f t="shared" si="4"/>
        <v>0</v>
      </c>
      <c r="AN44" s="1292">
        <f t="shared" si="9"/>
        <v>0</v>
      </c>
      <c r="AO44" s="1293">
        <f t="shared" si="5"/>
        <v>0</v>
      </c>
      <c r="AP44" s="18">
        <f>IF(ISBLANK(S44),0,(S44/W59)*AO60)</f>
        <v>0</v>
      </c>
      <c r="AQ44" s="594">
        <f t="shared" si="6"/>
        <v>0</v>
      </c>
      <c r="AR44" s="649" t="s">
        <v>588</v>
      </c>
      <c r="AS44" s="648" t="s">
        <v>589</v>
      </c>
      <c r="AT44" s="648" t="s">
        <v>587</v>
      </c>
      <c r="AU44" s="648">
        <v>3</v>
      </c>
      <c r="AW44" s="1580" t="s">
        <v>758</v>
      </c>
      <c r="AX44" s="1581">
        <f>ROW()</f>
        <v>44</v>
      </c>
    </row>
    <row r="45" spans="1:50" ht="18.95" customHeight="1">
      <c r="A45" s="2508"/>
      <c r="B45" s="1437">
        <f>IF(D26=1,AH45,IF(D26=2,AL45,IF(D26=3,AP45,IF(D26=4,AT45))))</f>
        <v>0</v>
      </c>
      <c r="C45" s="1438">
        <f>IF(D26=1,AI45,IF(D26=2,AM45,IF(D26=3,AQ45,IF(D26=4,AU45))))</f>
        <v>0</v>
      </c>
      <c r="D45" s="1510">
        <f>IF(D26=1,AG45,IF(D26=2,AK45,IF(D26=3,AO45,IF(D26=4,AS45))))</f>
        <v>0</v>
      </c>
      <c r="E45" s="1440" t="str">
        <f>IF(D26=1,"",IF(D45=F45,"",AD45))</f>
        <v/>
      </c>
      <c r="F45" s="1445" t="str">
        <f>IF(D26=1,"",IF(D26=2,AJ45,IF(D26=3,AN45,IF(D26=4,AR45))))</f>
        <v/>
      </c>
      <c r="G45" s="22">
        <f t="shared" si="0"/>
        <v>0</v>
      </c>
      <c r="H45" s="22"/>
      <c r="I45" s="2454"/>
      <c r="J45" s="1530">
        <v>16</v>
      </c>
      <c r="K45" s="15"/>
      <c r="L45" s="15"/>
      <c r="M45" s="15"/>
      <c r="N45" s="15"/>
      <c r="O45" s="15"/>
      <c r="P45" s="1529"/>
      <c r="Q45" s="2455"/>
      <c r="S45" s="1362"/>
      <c r="T45" s="1306"/>
      <c r="U45" s="1307"/>
      <c r="V45" s="19"/>
      <c r="W45" s="1279">
        <f t="shared" si="1"/>
        <v>0</v>
      </c>
      <c r="X45" s="1289">
        <f>(W45/W27)*X27</f>
        <v>0</v>
      </c>
      <c r="Y45" s="18" t="str">
        <f>IF(ISBLANK(S45),"",(S45/W27)*X27)</f>
        <v/>
      </c>
      <c r="Z45" s="594">
        <f t="shared" si="10"/>
        <v>0</v>
      </c>
      <c r="AA45" s="1365">
        <f>W45/W27</f>
        <v>0</v>
      </c>
      <c r="AB45" s="630"/>
      <c r="AC45" s="624">
        <f>AB27</f>
        <v>0</v>
      </c>
      <c r="AD45" s="624">
        <f t="shared" si="7"/>
        <v>0</v>
      </c>
      <c r="AE45" s="1366">
        <f t="shared" si="8"/>
        <v>1</v>
      </c>
      <c r="AG45" s="1290">
        <f>((W45/W27)*AI27)</f>
        <v>0</v>
      </c>
      <c r="AH45" s="18">
        <f>IF(ISTEXT(S45),S45,IF(ISBLANK(S45),0,(S45/W27)*AI27))</f>
        <v>0</v>
      </c>
      <c r="AI45" s="17">
        <f t="shared" si="2"/>
        <v>0</v>
      </c>
      <c r="AJ45" s="1291">
        <f t="shared" si="3"/>
        <v>0</v>
      </c>
      <c r="AK45" s="1292">
        <f>AM27*AA45</f>
        <v>0</v>
      </c>
      <c r="AL45" s="18">
        <f>IF(ISBLANK(S45),0,(S45/W27)*AM27)</f>
        <v>0</v>
      </c>
      <c r="AM45" s="594">
        <f t="shared" si="4"/>
        <v>0</v>
      </c>
      <c r="AN45" s="1292">
        <f t="shared" si="9"/>
        <v>0</v>
      </c>
      <c r="AO45" s="1293">
        <f t="shared" si="5"/>
        <v>0</v>
      </c>
      <c r="AP45" s="18">
        <f>IF(ISBLANK(S45),0,(S45/W59)*AO60)</f>
        <v>0</v>
      </c>
      <c r="AQ45" s="594">
        <f t="shared" si="6"/>
        <v>0</v>
      </c>
      <c r="AR45" s="649" t="s">
        <v>588</v>
      </c>
      <c r="AS45" s="648" t="s">
        <v>589</v>
      </c>
      <c r="AT45" s="648" t="s">
        <v>587</v>
      </c>
      <c r="AU45" s="648">
        <v>3</v>
      </c>
      <c r="AW45" s="1595" t="s">
        <v>758</v>
      </c>
      <c r="AX45" s="1596">
        <f>ROW()</f>
        <v>45</v>
      </c>
    </row>
    <row r="46" spans="1:50" ht="18.95" customHeight="1">
      <c r="A46" s="2508"/>
      <c r="B46" s="1437">
        <f>IF(D26=1,AH46,IF(D26=2,AL46,IF(D26=3,AP46,IF(D26=4,AT46))))</f>
        <v>0</v>
      </c>
      <c r="C46" s="1438">
        <f>IF(D26=1,AI46,IF(D26=2,AM46,IF(D26=3,AQ46,IF(D26=4,AU46))))</f>
        <v>0</v>
      </c>
      <c r="D46" s="1510">
        <f>IF(D26=1,AG46,IF(D26=2,AK46,IF(D26=3,AO46,IF(D26=4,AS46))))</f>
        <v>0</v>
      </c>
      <c r="E46" s="1440" t="str">
        <f>IF(D26=1,"",IF(D46=F46,"",AD46))</f>
        <v/>
      </c>
      <c r="F46" s="1445" t="str">
        <f>IF(D26=1,"",IF(D26=2,AJ46,IF(D26=3,AN46,IF(D26=4,AR46))))</f>
        <v/>
      </c>
      <c r="G46" s="22">
        <f t="shared" si="0"/>
        <v>0</v>
      </c>
      <c r="H46" s="22"/>
      <c r="I46" s="2454"/>
      <c r="J46" s="1530">
        <v>17</v>
      </c>
      <c r="K46" s="15"/>
      <c r="L46" s="15"/>
      <c r="M46" s="15"/>
      <c r="N46" s="15"/>
      <c r="O46" s="15"/>
      <c r="P46" s="1529"/>
      <c r="Q46" s="2455"/>
      <c r="S46" s="1362"/>
      <c r="T46" s="1306"/>
      <c r="U46" s="1307"/>
      <c r="V46" s="19"/>
      <c r="W46" s="1279">
        <f t="shared" si="1"/>
        <v>0</v>
      </c>
      <c r="X46" s="1289">
        <f>(W46/W27)*X27</f>
        <v>0</v>
      </c>
      <c r="Y46" s="18" t="str">
        <f>IF(ISBLANK(S46),"",(S46/W27)*X27)</f>
        <v/>
      </c>
      <c r="Z46" s="594">
        <f t="shared" si="10"/>
        <v>0</v>
      </c>
      <c r="AA46" s="1365">
        <f>W46/W27</f>
        <v>0</v>
      </c>
      <c r="AB46" s="630"/>
      <c r="AC46" s="624">
        <f>AB27</f>
        <v>0</v>
      </c>
      <c r="AD46" s="624">
        <f t="shared" si="7"/>
        <v>0</v>
      </c>
      <c r="AE46" s="1366">
        <f t="shared" si="8"/>
        <v>1</v>
      </c>
      <c r="AG46" s="1290">
        <f>((W46/W27)*AI27)</f>
        <v>0</v>
      </c>
      <c r="AH46" s="18">
        <f>IF(ISTEXT(S46),S46,IF(ISBLANK(S46),0,(S46/W27)*AI27))</f>
        <v>0</v>
      </c>
      <c r="AI46" s="17">
        <f t="shared" si="2"/>
        <v>0</v>
      </c>
      <c r="AJ46" s="1291">
        <f t="shared" si="3"/>
        <v>0</v>
      </c>
      <c r="AK46" s="1292">
        <f>AM27*AA46</f>
        <v>0</v>
      </c>
      <c r="AL46" s="18">
        <f>IF(ISBLANK(S46),0,(S46/W27)*AM27)</f>
        <v>0</v>
      </c>
      <c r="AM46" s="594">
        <f t="shared" si="4"/>
        <v>0</v>
      </c>
      <c r="AN46" s="1292">
        <f t="shared" si="9"/>
        <v>0</v>
      </c>
      <c r="AO46" s="1293">
        <f t="shared" si="5"/>
        <v>0</v>
      </c>
      <c r="AP46" s="18">
        <f>IF(ISBLANK(S46),0,(S46/W59)*AO60)</f>
        <v>0</v>
      </c>
      <c r="AQ46" s="594">
        <f t="shared" si="6"/>
        <v>0</v>
      </c>
      <c r="AR46" s="649" t="s">
        <v>588</v>
      </c>
      <c r="AS46" s="648" t="s">
        <v>589</v>
      </c>
      <c r="AT46" s="648" t="s">
        <v>587</v>
      </c>
      <c r="AU46" s="648">
        <v>3</v>
      </c>
      <c r="AW46" s="1580" t="s">
        <v>758</v>
      </c>
      <c r="AX46" s="1581">
        <f>ROW()</f>
        <v>46</v>
      </c>
    </row>
    <row r="47" spans="1:50" ht="18.95" customHeight="1">
      <c r="A47" s="2508"/>
      <c r="B47" s="1437">
        <f>IF(D26=1,AH47,IF(D26=2,AL47,IF(D26=3,AP47,IF(D26=4,AT47))))</f>
        <v>0</v>
      </c>
      <c r="C47" s="1438">
        <f>IF(D26=1,AI47,IF(D26=2,AM47,IF(D26=3,AQ47,IF(D26=4,AU47))))</f>
        <v>0</v>
      </c>
      <c r="D47" s="1510">
        <f>IF(D26=1,AG47,IF(D26=2,AK47,IF(D26=3,AO47,IF(D26=4,AS47))))</f>
        <v>0</v>
      </c>
      <c r="E47" s="1440" t="str">
        <f>IF(D26=1,"",IF(D47=F47,"",AD47))</f>
        <v/>
      </c>
      <c r="F47" s="1445" t="str">
        <f>IF(D26=1,"",IF(D26=2,AJ47,IF(D26=3,AN47,IF(D26=4,AR47))))</f>
        <v/>
      </c>
      <c r="G47" s="22">
        <f t="shared" si="0"/>
        <v>0</v>
      </c>
      <c r="H47" s="22"/>
      <c r="I47" s="2454"/>
      <c r="J47" s="1530">
        <v>18</v>
      </c>
      <c r="K47" s="15"/>
      <c r="L47" s="15"/>
      <c r="M47" s="15"/>
      <c r="N47" s="15"/>
      <c r="O47" s="15"/>
      <c r="P47" s="1529"/>
      <c r="Q47" s="2455"/>
      <c r="S47" s="1362"/>
      <c r="T47" s="1306"/>
      <c r="U47" s="1307"/>
      <c r="V47" s="19"/>
      <c r="W47" s="1279">
        <f t="shared" si="1"/>
        <v>0</v>
      </c>
      <c r="X47" s="1289">
        <f>(W47/W27)*X27</f>
        <v>0</v>
      </c>
      <c r="Y47" s="18" t="str">
        <f>IF(ISBLANK(S47),"",(S47/W27)*X27)</f>
        <v/>
      </c>
      <c r="Z47" s="594">
        <f t="shared" si="10"/>
        <v>0</v>
      </c>
      <c r="AA47" s="1365">
        <f>W47/W27</f>
        <v>0</v>
      </c>
      <c r="AB47" s="630"/>
      <c r="AC47" s="624">
        <f>AB27</f>
        <v>0</v>
      </c>
      <c r="AD47" s="624">
        <f t="shared" si="7"/>
        <v>0</v>
      </c>
      <c r="AE47" s="1366">
        <f t="shared" si="8"/>
        <v>1</v>
      </c>
      <c r="AG47" s="1290">
        <f>((W47/W27)*AI27)</f>
        <v>0</v>
      </c>
      <c r="AH47" s="18">
        <f>IF(ISTEXT(S47),S47,IF(ISBLANK(S47),0,(S47/W27)*AI27))</f>
        <v>0</v>
      </c>
      <c r="AI47" s="17">
        <f t="shared" si="2"/>
        <v>0</v>
      </c>
      <c r="AJ47" s="1291">
        <f t="shared" si="3"/>
        <v>0</v>
      </c>
      <c r="AK47" s="1292">
        <f>AM27*AA47</f>
        <v>0</v>
      </c>
      <c r="AL47" s="18">
        <f>IF(ISBLANK(S47),0,(S47/W27)*AM27)</f>
        <v>0</v>
      </c>
      <c r="AM47" s="594">
        <f t="shared" si="4"/>
        <v>0</v>
      </c>
      <c r="AN47" s="1292">
        <f t="shared" si="9"/>
        <v>0</v>
      </c>
      <c r="AO47" s="1293">
        <f t="shared" si="5"/>
        <v>0</v>
      </c>
      <c r="AP47" s="18">
        <f>IF(ISBLANK(S47),0,(S47/W59)*AO60)</f>
        <v>0</v>
      </c>
      <c r="AQ47" s="594">
        <f t="shared" si="6"/>
        <v>0</v>
      </c>
      <c r="AR47" s="649" t="s">
        <v>588</v>
      </c>
      <c r="AS47" s="648" t="s">
        <v>589</v>
      </c>
      <c r="AT47" s="648" t="s">
        <v>587</v>
      </c>
      <c r="AU47" s="648">
        <v>3</v>
      </c>
      <c r="AW47" s="1595" t="s">
        <v>758</v>
      </c>
      <c r="AX47" s="1596">
        <f>ROW()</f>
        <v>47</v>
      </c>
    </row>
    <row r="48" spans="1:50" ht="18.95" customHeight="1">
      <c r="A48" s="2508"/>
      <c r="B48" s="1437">
        <f>IF(D26=1,AH48,IF(D26=2,AL48,IF(D26=3,AP48,IF(D26=4,AT48))))</f>
        <v>0</v>
      </c>
      <c r="C48" s="1438">
        <f>IF(D26=1,AI48,IF(D26=2,AM48,IF(D26=3,AQ48,IF(D26=4,AU48))))</f>
        <v>0</v>
      </c>
      <c r="D48" s="1510">
        <f>IF(D26=1,AG48,IF(D26=2,AK48,IF(D26=3,AO48,IF(D26=4,AS48))))</f>
        <v>0</v>
      </c>
      <c r="E48" s="1440" t="str">
        <f>IF(D26=1,"",IF(D48=F48,"",AD48))</f>
        <v/>
      </c>
      <c r="F48" s="1445" t="str">
        <f>IF(D26=1,"",IF(D26=2,AJ48,IF(D26=3,AN48,IF(D26=4,AR48))))</f>
        <v/>
      </c>
      <c r="G48" s="22">
        <f t="shared" si="0"/>
        <v>0</v>
      </c>
      <c r="H48" s="22"/>
      <c r="I48" s="2454"/>
      <c r="J48" s="1530">
        <v>19</v>
      </c>
      <c r="K48" s="15"/>
      <c r="L48" s="15"/>
      <c r="M48" s="15"/>
      <c r="N48" s="15"/>
      <c r="O48" s="15"/>
      <c r="P48" s="1529"/>
      <c r="Q48" s="2455"/>
      <c r="S48" s="1362"/>
      <c r="T48" s="1306"/>
      <c r="U48" s="1307"/>
      <c r="V48" s="19"/>
      <c r="W48" s="1279">
        <f t="shared" si="1"/>
        <v>0</v>
      </c>
      <c r="X48" s="1289">
        <f>(W48/W27)*X27</f>
        <v>0</v>
      </c>
      <c r="Y48" s="18" t="str">
        <f>IF(ISBLANK(S48),"",(S48/W27)*X27)</f>
        <v/>
      </c>
      <c r="Z48" s="594">
        <f t="shared" si="10"/>
        <v>0</v>
      </c>
      <c r="AA48" s="1365">
        <f>W48/W27</f>
        <v>0</v>
      </c>
      <c r="AB48" s="630"/>
      <c r="AC48" s="624">
        <f>AB27</f>
        <v>0</v>
      </c>
      <c r="AD48" s="624">
        <f t="shared" si="7"/>
        <v>0</v>
      </c>
      <c r="AE48" s="1366">
        <f t="shared" si="8"/>
        <v>1</v>
      </c>
      <c r="AG48" s="1290">
        <f>((W48/W27)*AI27)</f>
        <v>0</v>
      </c>
      <c r="AH48" s="18">
        <f>IF(ISTEXT(S48),S48,IF(ISBLANK(S48),0,(S48/W27)*AI27))</f>
        <v>0</v>
      </c>
      <c r="AI48" s="17">
        <f t="shared" si="2"/>
        <v>0</v>
      </c>
      <c r="AJ48" s="1291">
        <f t="shared" si="3"/>
        <v>0</v>
      </c>
      <c r="AK48" s="1292">
        <f>AM27*AA48</f>
        <v>0</v>
      </c>
      <c r="AL48" s="18">
        <f>IF(ISBLANK(S48),0,(S48/W27)*AM27)</f>
        <v>0</v>
      </c>
      <c r="AM48" s="594">
        <f t="shared" si="4"/>
        <v>0</v>
      </c>
      <c r="AN48" s="1292">
        <f t="shared" si="9"/>
        <v>0</v>
      </c>
      <c r="AO48" s="1293">
        <f t="shared" si="5"/>
        <v>0</v>
      </c>
      <c r="AP48" s="18">
        <f>IF(ISBLANK(S48),0,(S48/W59)*AO60)</f>
        <v>0</v>
      </c>
      <c r="AQ48" s="594">
        <f t="shared" si="6"/>
        <v>0</v>
      </c>
      <c r="AR48" s="649" t="s">
        <v>588</v>
      </c>
      <c r="AS48" s="648" t="s">
        <v>589</v>
      </c>
      <c r="AT48" s="648" t="s">
        <v>587</v>
      </c>
      <c r="AU48" s="648">
        <v>3</v>
      </c>
      <c r="AW48" s="1580" t="s">
        <v>758</v>
      </c>
      <c r="AX48" s="1581">
        <f>ROW()</f>
        <v>48</v>
      </c>
    </row>
    <row r="49" spans="1:50" ht="18.95" customHeight="1">
      <c r="A49" s="2508"/>
      <c r="B49" s="1437">
        <f>IF(D26=1,AH49,IF(D26=2,AL49,IF(D26=3,AP49,IF(D26=4,AT49))))</f>
        <v>0</v>
      </c>
      <c r="C49" s="1438">
        <f>IF(D26=1,AI49,IF(D26=2,AM49,IF(D26=3,AQ49,IF(D26=4,AU49))))</f>
        <v>0</v>
      </c>
      <c r="D49" s="1510">
        <f>IF(D26=1,AG49,IF(D26=2,AK49,IF(D26=3,AO49,IF(D26=4,AS49))))</f>
        <v>0</v>
      </c>
      <c r="E49" s="1440" t="str">
        <f>IF(D26=1,"",IF(D49=F49,"",AD49))</f>
        <v/>
      </c>
      <c r="F49" s="1445" t="str">
        <f>IF(D26=1,"",IF(D26=2,AJ49,IF(D26=3,AN49,IF(D26=4,AR49))))</f>
        <v/>
      </c>
      <c r="G49" s="22">
        <f t="shared" si="0"/>
        <v>0</v>
      </c>
      <c r="H49" s="22"/>
      <c r="I49" s="2454"/>
      <c r="J49" s="1530">
        <v>20</v>
      </c>
      <c r="K49" s="15"/>
      <c r="L49" s="15"/>
      <c r="M49" s="15"/>
      <c r="N49" s="15"/>
      <c r="O49" s="15"/>
      <c r="P49" s="1529"/>
      <c r="Q49" s="2455"/>
      <c r="S49" s="1362"/>
      <c r="T49" s="1306"/>
      <c r="U49" s="1307"/>
      <c r="V49" s="19"/>
      <c r="W49" s="1279">
        <f t="shared" si="1"/>
        <v>0</v>
      </c>
      <c r="X49" s="1289">
        <f>(W49/W27)*X27</f>
        <v>0</v>
      </c>
      <c r="Y49" s="18" t="str">
        <f>IF(ISBLANK(S49),"",(S49/W27)*X27)</f>
        <v/>
      </c>
      <c r="Z49" s="594">
        <f t="shared" si="10"/>
        <v>0</v>
      </c>
      <c r="AA49" s="1365">
        <f>W49/W27</f>
        <v>0</v>
      </c>
      <c r="AB49" s="630"/>
      <c r="AC49" s="624">
        <f>AB27</f>
        <v>0</v>
      </c>
      <c r="AD49" s="624">
        <f t="shared" si="7"/>
        <v>0</v>
      </c>
      <c r="AE49" s="1366">
        <f t="shared" si="8"/>
        <v>1</v>
      </c>
      <c r="AG49" s="1290">
        <f>((W49/W27)*AI27)</f>
        <v>0</v>
      </c>
      <c r="AH49" s="18">
        <f>IF(ISTEXT(S49),S49,IF(ISBLANK(S49),0,(S49/W27)*AI27))</f>
        <v>0</v>
      </c>
      <c r="AI49" s="17">
        <f t="shared" si="2"/>
        <v>0</v>
      </c>
      <c r="AJ49" s="1291">
        <f t="shared" si="3"/>
        <v>0</v>
      </c>
      <c r="AK49" s="1292">
        <f>AM27*AA49</f>
        <v>0</v>
      </c>
      <c r="AL49" s="18">
        <f>IF(ISBLANK(S49),0,(S49/W27)*AM27)</f>
        <v>0</v>
      </c>
      <c r="AM49" s="594">
        <f t="shared" si="4"/>
        <v>0</v>
      </c>
      <c r="AN49" s="1292">
        <f t="shared" si="9"/>
        <v>0</v>
      </c>
      <c r="AO49" s="1293">
        <f t="shared" si="5"/>
        <v>0</v>
      </c>
      <c r="AP49" s="18">
        <f>IF(ISBLANK(S49),0,(S49/W59)*AO60)</f>
        <v>0</v>
      </c>
      <c r="AQ49" s="594">
        <f t="shared" si="6"/>
        <v>0</v>
      </c>
      <c r="AR49" s="649" t="s">
        <v>588</v>
      </c>
      <c r="AS49" s="648" t="s">
        <v>589</v>
      </c>
      <c r="AT49" s="648" t="s">
        <v>587</v>
      </c>
      <c r="AU49" s="648">
        <v>3</v>
      </c>
      <c r="AW49" s="1595" t="s">
        <v>758</v>
      </c>
      <c r="AX49" s="1596">
        <f>ROW()</f>
        <v>49</v>
      </c>
    </row>
    <row r="50" spans="1:50" ht="18.95" customHeight="1">
      <c r="A50" s="2508"/>
      <c r="B50" s="1437">
        <f>IF(D26=1,AH50,IF(D26=2,AL50,IF(D26=3,AP50,IF(D26=4,AT50))))</f>
        <v>0</v>
      </c>
      <c r="C50" s="1438">
        <f>IF(D26=1,AI50,IF(D26=2,AM50,IF(D26=3,AQ50,IF(D26=4,AU50))))</f>
        <v>0</v>
      </c>
      <c r="D50" s="1510">
        <f>IF(D26=1,AG50,IF(D26=2,AK50,IF(D26=3,AO50,IF(D26=4,AS50))))</f>
        <v>0</v>
      </c>
      <c r="E50" s="1440" t="str">
        <f>IF(D26=1,"",IF(D50=F50,"",AD50))</f>
        <v/>
      </c>
      <c r="F50" s="1445" t="str">
        <f>IF(D26=1,"",IF(D26=2,AJ50,IF(D26=3,AN50,IF(D26=4,AR50))))</f>
        <v/>
      </c>
      <c r="G50" s="22">
        <f t="shared" si="0"/>
        <v>0</v>
      </c>
      <c r="H50" s="22"/>
      <c r="I50" s="2454"/>
      <c r="J50" s="1530">
        <v>21</v>
      </c>
      <c r="K50" s="15"/>
      <c r="L50" s="15"/>
      <c r="M50" s="15"/>
      <c r="N50" s="15"/>
      <c r="O50" s="15"/>
      <c r="P50" s="1529"/>
      <c r="Q50" s="2455"/>
      <c r="S50" s="1362"/>
      <c r="T50" s="1306"/>
      <c r="U50" s="1307"/>
      <c r="V50" s="19"/>
      <c r="W50" s="1279">
        <f t="shared" si="1"/>
        <v>0</v>
      </c>
      <c r="X50" s="1289">
        <f>(W50/W27)*X27</f>
        <v>0</v>
      </c>
      <c r="Y50" s="18" t="str">
        <f>IF(ISBLANK(S50),"",(S50/W27)*X27)</f>
        <v/>
      </c>
      <c r="Z50" s="594">
        <f t="shared" si="10"/>
        <v>0</v>
      </c>
      <c r="AA50" s="1365">
        <f>W50/W27</f>
        <v>0</v>
      </c>
      <c r="AB50" s="630"/>
      <c r="AC50" s="624">
        <f>AB27</f>
        <v>0</v>
      </c>
      <c r="AD50" s="624">
        <f t="shared" si="7"/>
        <v>0</v>
      </c>
      <c r="AE50" s="1366">
        <f t="shared" si="8"/>
        <v>1</v>
      </c>
      <c r="AG50" s="1290">
        <f>((W50/W27)*AI27)</f>
        <v>0</v>
      </c>
      <c r="AH50" s="18">
        <f>IF(ISTEXT(S50),S50,IF(ISBLANK(S50),0,(S50/W27)*AI27))</f>
        <v>0</v>
      </c>
      <c r="AI50" s="17">
        <f t="shared" si="2"/>
        <v>0</v>
      </c>
      <c r="AJ50" s="1291">
        <f t="shared" si="3"/>
        <v>0</v>
      </c>
      <c r="AK50" s="1292">
        <f>AM27*AA50</f>
        <v>0</v>
      </c>
      <c r="AL50" s="18">
        <f>IF(ISBLANK(S50),0,(S50/W27)*AM27)</f>
        <v>0</v>
      </c>
      <c r="AM50" s="594">
        <f t="shared" si="4"/>
        <v>0</v>
      </c>
      <c r="AN50" s="1292">
        <f t="shared" si="9"/>
        <v>0</v>
      </c>
      <c r="AO50" s="1293">
        <f t="shared" si="5"/>
        <v>0</v>
      </c>
      <c r="AP50" s="18">
        <f>IF(ISBLANK(S50),0,(S50/W59)*AO60)</f>
        <v>0</v>
      </c>
      <c r="AQ50" s="594">
        <f t="shared" si="6"/>
        <v>0</v>
      </c>
      <c r="AR50" s="649" t="s">
        <v>588</v>
      </c>
      <c r="AS50" s="648" t="s">
        <v>589</v>
      </c>
      <c r="AT50" s="648" t="s">
        <v>587</v>
      </c>
      <c r="AU50" s="648">
        <v>3</v>
      </c>
      <c r="AW50" s="1580" t="s">
        <v>758</v>
      </c>
      <c r="AX50" s="1581">
        <f>ROW()</f>
        <v>50</v>
      </c>
    </row>
    <row r="51" spans="1:50" ht="18.95" customHeight="1">
      <c r="A51" s="2508"/>
      <c r="B51" s="1437">
        <f>IF(D26=1,AH51,IF(D26=2,AL51,IF(D26=3,AP51,IF(D26=4,AT51))))</f>
        <v>0</v>
      </c>
      <c r="C51" s="1438">
        <f>IF(D26=1,AI51,IF(D26=2,AM51,IF(D26=3,AQ51,IF(D26=4,AU51))))</f>
        <v>0</v>
      </c>
      <c r="D51" s="1510">
        <f>IF(D26=1,AG51,IF(D26=2,AK51,IF(D26=3,AO51,IF(D26=4,AS51))))</f>
        <v>0</v>
      </c>
      <c r="E51" s="1440" t="str">
        <f>IF(D26=1,"",IF(D51=F51,"",AD51))</f>
        <v/>
      </c>
      <c r="F51" s="1445" t="str">
        <f>IF(D26=1,"",IF(D26=2,AJ51,IF(D26=3,AN51,IF(D26=4,AR51))))</f>
        <v/>
      </c>
      <c r="G51" s="22">
        <f t="shared" si="0"/>
        <v>0</v>
      </c>
      <c r="H51" s="22"/>
      <c r="I51" s="2454"/>
      <c r="J51" s="1530">
        <v>22</v>
      </c>
      <c r="K51" s="15"/>
      <c r="L51" s="15"/>
      <c r="M51" s="15"/>
      <c r="N51" s="15"/>
      <c r="O51" s="15"/>
      <c r="P51" s="1529"/>
      <c r="Q51" s="2455"/>
      <c r="S51" s="1362"/>
      <c r="T51" s="1306"/>
      <c r="U51" s="1307"/>
      <c r="V51" s="19"/>
      <c r="W51" s="1279">
        <f t="shared" si="1"/>
        <v>0</v>
      </c>
      <c r="X51" s="1289">
        <f>(W51/W27)*X27</f>
        <v>0</v>
      </c>
      <c r="Y51" s="18" t="str">
        <f>IF(ISBLANK(S51),"",(S51/W27)*X27)</f>
        <v/>
      </c>
      <c r="Z51" s="594">
        <f t="shared" si="10"/>
        <v>0</v>
      </c>
      <c r="AA51" s="1365">
        <f>W51/W27</f>
        <v>0</v>
      </c>
      <c r="AB51" s="630"/>
      <c r="AC51" s="624">
        <f>AB27</f>
        <v>0</v>
      </c>
      <c r="AD51" s="624">
        <f t="shared" si="7"/>
        <v>0</v>
      </c>
      <c r="AE51" s="1366">
        <f t="shared" si="8"/>
        <v>1</v>
      </c>
      <c r="AG51" s="1290">
        <f>((W51/W27)*AI27)</f>
        <v>0</v>
      </c>
      <c r="AH51" s="18">
        <f>IF(ISTEXT(S51),S51,IF(ISBLANK(S51),0,(S51/W27)*AI27))</f>
        <v>0</v>
      </c>
      <c r="AI51" s="17">
        <f t="shared" si="2"/>
        <v>0</v>
      </c>
      <c r="AJ51" s="1291">
        <f t="shared" si="3"/>
        <v>0</v>
      </c>
      <c r="AK51" s="1292">
        <f>AM27*AA51</f>
        <v>0</v>
      </c>
      <c r="AL51" s="18">
        <f>IF(ISBLANK(S51),0,(S51/W27)*AM27)</f>
        <v>0</v>
      </c>
      <c r="AM51" s="594">
        <f t="shared" si="4"/>
        <v>0</v>
      </c>
      <c r="AN51" s="1292">
        <f t="shared" si="9"/>
        <v>0</v>
      </c>
      <c r="AO51" s="1293">
        <f t="shared" si="5"/>
        <v>0</v>
      </c>
      <c r="AP51" s="18">
        <f>IF(ISBLANK(S51),0,(S51/W59)*AO60)</f>
        <v>0</v>
      </c>
      <c r="AQ51" s="594">
        <f t="shared" si="6"/>
        <v>0</v>
      </c>
      <c r="AR51" s="649" t="s">
        <v>588</v>
      </c>
      <c r="AS51" s="648" t="s">
        <v>589</v>
      </c>
      <c r="AT51" s="648" t="s">
        <v>587</v>
      </c>
      <c r="AU51" s="648">
        <v>3</v>
      </c>
      <c r="AW51" s="1595" t="s">
        <v>758</v>
      </c>
      <c r="AX51" s="1596">
        <f>ROW()</f>
        <v>51</v>
      </c>
    </row>
    <row r="52" spans="1:50" ht="18.95" customHeight="1">
      <c r="A52" s="2508"/>
      <c r="B52" s="1437">
        <f>IF(D26=1,AH52,IF(D26=2,AL52,IF(D26=3,AP52,IF(D26=4,AT52))))</f>
        <v>0</v>
      </c>
      <c r="C52" s="1438">
        <f>IF(D26=1,AI52,IF(D26=2,AM52,IF(D26=3,AQ52,IF(D26=4,AU52))))</f>
        <v>0</v>
      </c>
      <c r="D52" s="1510">
        <f>IF(D26=1,AG52,IF(D26=2,AK52,IF(D26=3,AO52,IF(D26=4,AS52))))</f>
        <v>0</v>
      </c>
      <c r="E52" s="1440" t="str">
        <f>IF(D26=1,"",IF(D52=F52,"",AD52))</f>
        <v/>
      </c>
      <c r="F52" s="1445" t="str">
        <f>IF(D26=1,"",IF(D26=2,AJ52,IF(D26=3,AN52,IF(D26=4,AR52))))</f>
        <v/>
      </c>
      <c r="G52" s="22">
        <f t="shared" si="0"/>
        <v>0</v>
      </c>
      <c r="H52" s="22"/>
      <c r="I52" s="2454"/>
      <c r="J52" s="1530">
        <v>23</v>
      </c>
      <c r="K52" s="15"/>
      <c r="L52" s="15"/>
      <c r="M52" s="15"/>
      <c r="N52" s="15"/>
      <c r="O52" s="15"/>
      <c r="P52" s="1529"/>
      <c r="Q52" s="2455"/>
      <c r="S52" s="1362"/>
      <c r="T52" s="1306"/>
      <c r="U52" s="1307"/>
      <c r="V52" s="19"/>
      <c r="W52" s="1279">
        <f t="shared" si="1"/>
        <v>0</v>
      </c>
      <c r="X52" s="1289">
        <f>(W52/W27)*X27</f>
        <v>0</v>
      </c>
      <c r="Y52" s="18" t="str">
        <f>IF(ISBLANK(S52),"",(S52/W27)*X27)</f>
        <v/>
      </c>
      <c r="Z52" s="594">
        <f t="shared" si="10"/>
        <v>0</v>
      </c>
      <c r="AA52" s="1365">
        <f>W52/W27</f>
        <v>0</v>
      </c>
      <c r="AB52" s="630"/>
      <c r="AC52" s="624">
        <f>AB27</f>
        <v>0</v>
      </c>
      <c r="AD52" s="624">
        <f t="shared" si="7"/>
        <v>0</v>
      </c>
      <c r="AE52" s="1366">
        <f t="shared" si="8"/>
        <v>1</v>
      </c>
      <c r="AG52" s="1290">
        <f>((W52/W27)*AI27)</f>
        <v>0</v>
      </c>
      <c r="AH52" s="18">
        <f>IF(ISTEXT(S52),S52,IF(ISBLANK(S52),0,(S52/W27)*AI27))</f>
        <v>0</v>
      </c>
      <c r="AI52" s="17">
        <f t="shared" si="2"/>
        <v>0</v>
      </c>
      <c r="AJ52" s="1291">
        <f t="shared" si="3"/>
        <v>0</v>
      </c>
      <c r="AK52" s="1292">
        <f>AM27*AA52</f>
        <v>0</v>
      </c>
      <c r="AL52" s="18">
        <f>IF(ISBLANK(S52),0,(S52/W27)*AM27)</f>
        <v>0</v>
      </c>
      <c r="AM52" s="594">
        <f t="shared" si="4"/>
        <v>0</v>
      </c>
      <c r="AN52" s="1292">
        <f t="shared" si="9"/>
        <v>0</v>
      </c>
      <c r="AO52" s="1293">
        <f t="shared" si="5"/>
        <v>0</v>
      </c>
      <c r="AP52" s="18">
        <f>IF(ISBLANK(S52),0,(S52/W59)*AO60)</f>
        <v>0</v>
      </c>
      <c r="AQ52" s="594">
        <f t="shared" si="6"/>
        <v>0</v>
      </c>
      <c r="AR52" s="649" t="s">
        <v>588</v>
      </c>
      <c r="AS52" s="648" t="s">
        <v>589</v>
      </c>
      <c r="AT52" s="648" t="s">
        <v>587</v>
      </c>
      <c r="AU52" s="648">
        <v>3</v>
      </c>
      <c r="AW52" s="1580" t="s">
        <v>758</v>
      </c>
      <c r="AX52" s="1581">
        <f>ROW()</f>
        <v>52</v>
      </c>
    </row>
    <row r="53" spans="1:50" ht="18.95" customHeight="1">
      <c r="A53" s="2508"/>
      <c r="B53" s="1437">
        <f>IF(D26=1,AH53,IF(D26=2,AL53,IF(D26=3,AP53,IF(D26=4,AT53))))</f>
        <v>0</v>
      </c>
      <c r="C53" s="1438">
        <f>IF(D26=1,AI53,IF(D26=2,AM53,IF(D26=3,AQ53,IF(D26=4,AU53))))</f>
        <v>0</v>
      </c>
      <c r="D53" s="1510">
        <f>IF(D26=1,AG53,IF(D26=2,AK53,IF(D26=3,AO53,IF(D26=4,AS53))))</f>
        <v>0</v>
      </c>
      <c r="E53" s="1440" t="str">
        <f>IF(D26=1,"",IF(D53=F53,"",AD53))</f>
        <v/>
      </c>
      <c r="F53" s="1445" t="str">
        <f>IF(D26=1,"",IF(D26=2,AJ53,IF(D26=3,AN53,IF(D26=4,AR53))))</f>
        <v/>
      </c>
      <c r="G53" s="22">
        <f t="shared" si="0"/>
        <v>0</v>
      </c>
      <c r="H53" s="22"/>
      <c r="I53" s="2454"/>
      <c r="J53" s="1530">
        <v>24</v>
      </c>
      <c r="K53" s="15"/>
      <c r="L53" s="15"/>
      <c r="M53" s="15"/>
      <c r="N53" s="15"/>
      <c r="O53" s="15"/>
      <c r="P53" s="1529"/>
      <c r="Q53" s="2455"/>
      <c r="S53" s="1362"/>
      <c r="T53" s="1306"/>
      <c r="U53" s="1307"/>
      <c r="V53" s="19"/>
      <c r="W53" s="1279">
        <f t="shared" si="1"/>
        <v>0</v>
      </c>
      <c r="X53" s="1289">
        <f>(W53/W27)*X27</f>
        <v>0</v>
      </c>
      <c r="Y53" s="18" t="str">
        <f>IF(ISBLANK(S53),"",(S53/W27)*X27)</f>
        <v/>
      </c>
      <c r="Z53" s="594">
        <f t="shared" si="10"/>
        <v>0</v>
      </c>
      <c r="AA53" s="1365">
        <f>W53/W27</f>
        <v>0</v>
      </c>
      <c r="AB53" s="630"/>
      <c r="AC53" s="624">
        <f>AB27</f>
        <v>0</v>
      </c>
      <c r="AD53" s="624">
        <f t="shared" si="7"/>
        <v>0</v>
      </c>
      <c r="AE53" s="1366">
        <f t="shared" si="8"/>
        <v>1</v>
      </c>
      <c r="AG53" s="1290">
        <f>((W53/W27)*AI27)</f>
        <v>0</v>
      </c>
      <c r="AH53" s="18">
        <f>IF(ISTEXT(S53),S53,IF(ISBLANK(S53),0,(S53/W27)*AI27))</f>
        <v>0</v>
      </c>
      <c r="AI53" s="17">
        <f t="shared" si="2"/>
        <v>0</v>
      </c>
      <c r="AJ53" s="1291">
        <f t="shared" si="3"/>
        <v>0</v>
      </c>
      <c r="AK53" s="1292">
        <f>AM27*AA53</f>
        <v>0</v>
      </c>
      <c r="AL53" s="18">
        <f>IF(ISBLANK(S53),0,(S53/W27)*AM27)</f>
        <v>0</v>
      </c>
      <c r="AM53" s="594">
        <f t="shared" si="4"/>
        <v>0</v>
      </c>
      <c r="AN53" s="1292">
        <f t="shared" si="9"/>
        <v>0</v>
      </c>
      <c r="AO53" s="1293">
        <f t="shared" si="5"/>
        <v>0</v>
      </c>
      <c r="AP53" s="18">
        <f>IF(ISBLANK(S53),0,(S53/W59)*AO60)</f>
        <v>0</v>
      </c>
      <c r="AQ53" s="594">
        <f t="shared" si="6"/>
        <v>0</v>
      </c>
      <c r="AR53" s="649" t="s">
        <v>588</v>
      </c>
      <c r="AS53" s="648" t="s">
        <v>589</v>
      </c>
      <c r="AT53" s="648" t="s">
        <v>587</v>
      </c>
      <c r="AU53" s="648">
        <v>3</v>
      </c>
      <c r="AW53" s="1595" t="s">
        <v>758</v>
      </c>
      <c r="AX53" s="1596">
        <f>ROW()</f>
        <v>53</v>
      </c>
    </row>
    <row r="54" spans="1:50" ht="18.95" customHeight="1">
      <c r="A54" s="2508"/>
      <c r="B54" s="1437">
        <f>IF(D26=1,AH54,IF(D26=2,AL54,IF(D26=3,AP54,IF(D26=4,AT54))))</f>
        <v>0</v>
      </c>
      <c r="C54" s="1438">
        <f>IF(D26=1,AI54,IF(D26=2,AM54,IF(D26=3,AQ54,IF(D26=4,AU54))))</f>
        <v>0</v>
      </c>
      <c r="D54" s="1510">
        <f>IF(D26=1,AG54,IF(D26=2,AK54,IF(D26=3,AO54,IF(D26=4,AS54))))</f>
        <v>0</v>
      </c>
      <c r="E54" s="1440" t="str">
        <f>IF(D26=1,"",IF(D54=F54,"",AD54))</f>
        <v/>
      </c>
      <c r="F54" s="1445" t="str">
        <f>IF(D26=1,"",IF(D26=2,AJ54,IF(D26=3,AN54,IF(D26=4,AR54))))</f>
        <v/>
      </c>
      <c r="G54" s="22">
        <f t="shared" si="0"/>
        <v>0</v>
      </c>
      <c r="H54" s="22"/>
      <c r="I54" s="2454"/>
      <c r="J54" s="1530">
        <v>25</v>
      </c>
      <c r="K54" s="15"/>
      <c r="L54" s="15"/>
      <c r="M54" s="15"/>
      <c r="N54" s="15"/>
      <c r="O54" s="15"/>
      <c r="P54" s="1529"/>
      <c r="Q54" s="2455"/>
      <c r="S54" s="1362"/>
      <c r="T54" s="1306"/>
      <c r="U54" s="1307"/>
      <c r="V54" s="19"/>
      <c r="W54" s="1279">
        <f t="shared" si="1"/>
        <v>0</v>
      </c>
      <c r="X54" s="1289">
        <f>(W54/W27)*X27</f>
        <v>0</v>
      </c>
      <c r="Y54" s="18" t="str">
        <f>IF(ISBLANK(S54),"",(S54/W27)*X27)</f>
        <v/>
      </c>
      <c r="Z54" s="594">
        <f t="shared" si="10"/>
        <v>0</v>
      </c>
      <c r="AA54" s="1365">
        <f>W54/W27</f>
        <v>0</v>
      </c>
      <c r="AB54" s="630"/>
      <c r="AC54" s="624">
        <f>AB27</f>
        <v>0</v>
      </c>
      <c r="AD54" s="624">
        <f t="shared" si="7"/>
        <v>0</v>
      </c>
      <c r="AE54" s="1366">
        <f t="shared" si="8"/>
        <v>1</v>
      </c>
      <c r="AG54" s="1290">
        <f>((W54/W27)*AI27)</f>
        <v>0</v>
      </c>
      <c r="AH54" s="18">
        <f>IF(ISTEXT(S54),S54,IF(ISBLANK(S54),0,(S54/W27)*AI27))</f>
        <v>0</v>
      </c>
      <c r="AI54" s="17">
        <f t="shared" si="2"/>
        <v>0</v>
      </c>
      <c r="AJ54" s="1291">
        <f t="shared" si="3"/>
        <v>0</v>
      </c>
      <c r="AK54" s="1292">
        <f>AM27*AA54</f>
        <v>0</v>
      </c>
      <c r="AL54" s="18">
        <f>IF(ISBLANK(S54),0,(S54/W27)*AM27)</f>
        <v>0</v>
      </c>
      <c r="AM54" s="594">
        <f t="shared" si="4"/>
        <v>0</v>
      </c>
      <c r="AN54" s="1292">
        <f t="shared" si="9"/>
        <v>0</v>
      </c>
      <c r="AO54" s="1293">
        <f t="shared" si="5"/>
        <v>0</v>
      </c>
      <c r="AP54" s="18">
        <f>IF(ISBLANK(S54),0,(S54/W59)*AO60)</f>
        <v>0</v>
      </c>
      <c r="AQ54" s="594">
        <f t="shared" si="6"/>
        <v>0</v>
      </c>
      <c r="AR54" s="649" t="s">
        <v>588</v>
      </c>
      <c r="AS54" s="648" t="s">
        <v>589</v>
      </c>
      <c r="AT54" s="648" t="s">
        <v>587</v>
      </c>
      <c r="AU54" s="648">
        <v>3</v>
      </c>
      <c r="AW54" s="1580" t="s">
        <v>758</v>
      </c>
      <c r="AX54" s="1581">
        <f>ROW()</f>
        <v>54</v>
      </c>
    </row>
    <row r="55" spans="1:50" ht="18.95" customHeight="1">
      <c r="A55" s="2508"/>
      <c r="B55" s="1437">
        <f>IF(D26=1,AH55,IF(D26=2,AL55,IF(D26=3,AP55,IF(D26=4,AT55))))</f>
        <v>0</v>
      </c>
      <c r="C55" s="1438">
        <f>IF(D26=1,AI55,IF(D26=2,AM55,IF(D26=3,AQ55,IF(D26=4,AU55))))</f>
        <v>0</v>
      </c>
      <c r="D55" s="1510">
        <f>IF(D26=1,AG55,IF(D26=2,AK55,IF(D26=3,AO55,IF(D26=4,AS55))))</f>
        <v>0</v>
      </c>
      <c r="E55" s="1440" t="str">
        <f>IF(D26=1,"",IF(D55=F55,"",AD55))</f>
        <v/>
      </c>
      <c r="F55" s="1445" t="str">
        <f>IF(D26=1,"",IF(D26=2,AJ55,IF(D26=3,AN55,IF(D26=4,AR55))))</f>
        <v/>
      </c>
      <c r="G55" s="22">
        <f t="shared" si="0"/>
        <v>0</v>
      </c>
      <c r="H55" s="22"/>
      <c r="I55" s="2454"/>
      <c r="J55" s="1530">
        <v>26</v>
      </c>
      <c r="K55" s="15"/>
      <c r="L55" s="15"/>
      <c r="M55" s="15"/>
      <c r="N55" s="15"/>
      <c r="O55" s="15"/>
      <c r="P55" s="1529"/>
      <c r="Q55" s="2455"/>
      <c r="S55" s="1362"/>
      <c r="T55" s="1306"/>
      <c r="U55" s="1307"/>
      <c r="V55" s="19"/>
      <c r="W55" s="1279">
        <f t="shared" si="1"/>
        <v>0</v>
      </c>
      <c r="X55" s="1289">
        <f>(W55/W27)*X27</f>
        <v>0</v>
      </c>
      <c r="Y55" s="18" t="str">
        <f>IF(ISBLANK(S55),"",(S55/W27)*X27)</f>
        <v/>
      </c>
      <c r="Z55" s="594">
        <f t="shared" si="10"/>
        <v>0</v>
      </c>
      <c r="AA55" s="1365">
        <f>W55/W27</f>
        <v>0</v>
      </c>
      <c r="AB55" s="630"/>
      <c r="AC55" s="624">
        <f>AB27</f>
        <v>0</v>
      </c>
      <c r="AD55" s="624">
        <f t="shared" si="7"/>
        <v>0</v>
      </c>
      <c r="AE55" s="1366">
        <f t="shared" si="8"/>
        <v>1</v>
      </c>
      <c r="AG55" s="1290">
        <f>((W55/W27)*AI27)</f>
        <v>0</v>
      </c>
      <c r="AH55" s="18">
        <f>IF(ISTEXT(S55),S55,IF(ISBLANK(S55),0,(S55/W27)*AI27))</f>
        <v>0</v>
      </c>
      <c r="AI55" s="17">
        <f t="shared" si="2"/>
        <v>0</v>
      </c>
      <c r="AJ55" s="1291">
        <f t="shared" si="3"/>
        <v>0</v>
      </c>
      <c r="AK55" s="1292">
        <f>AM27*AA55</f>
        <v>0</v>
      </c>
      <c r="AL55" s="18">
        <f>IF(ISBLANK(S55),0,(S55/W27)*AM27)</f>
        <v>0</v>
      </c>
      <c r="AM55" s="594">
        <f t="shared" si="4"/>
        <v>0</v>
      </c>
      <c r="AN55" s="1292">
        <f t="shared" si="9"/>
        <v>0</v>
      </c>
      <c r="AO55" s="1293">
        <f t="shared" si="5"/>
        <v>0</v>
      </c>
      <c r="AP55" s="18">
        <f>IF(ISBLANK(S55),0,(S55/W59)*AO60)</f>
        <v>0</v>
      </c>
      <c r="AQ55" s="594">
        <f t="shared" si="6"/>
        <v>0</v>
      </c>
      <c r="AR55" s="649" t="s">
        <v>588</v>
      </c>
      <c r="AS55" s="648" t="s">
        <v>589</v>
      </c>
      <c r="AT55" s="648" t="s">
        <v>587</v>
      </c>
      <c r="AU55" s="648">
        <v>3</v>
      </c>
      <c r="AW55" s="1595" t="s">
        <v>758</v>
      </c>
      <c r="AX55" s="1596">
        <f>ROW()</f>
        <v>55</v>
      </c>
    </row>
    <row r="56" spans="1:50" ht="18.95" customHeight="1">
      <c r="A56" s="2508"/>
      <c r="B56" s="1437">
        <f>IF(D26=1,AH56,IF(D26=2,AL56,IF(D26=3,AP56,IF(D26=4,AT56))))</f>
        <v>0</v>
      </c>
      <c r="C56" s="1438">
        <f>IF(D26=1,AI56,IF(D26=2,AM56,IF(D26=3,AQ56,IF(D26=4,AU56))))</f>
        <v>0</v>
      </c>
      <c r="D56" s="1510">
        <f>IF(D26=1,AG56,IF(D26=2,AK56,IF(D26=3,AO56,IF(D26=4,AS56))))</f>
        <v>0</v>
      </c>
      <c r="E56" s="1440" t="str">
        <f>IF(D26=1,"",IF(D56=F56,"",AD56))</f>
        <v/>
      </c>
      <c r="F56" s="1445" t="str">
        <f>IF(D26=1,"",IF(D26=2,AJ56,IF(D26=3,AN56,IF(D26=4,AR56))))</f>
        <v/>
      </c>
      <c r="G56" s="22">
        <f t="shared" si="0"/>
        <v>0</v>
      </c>
      <c r="H56" s="22"/>
      <c r="I56" s="2454"/>
      <c r="J56" s="1530">
        <v>27</v>
      </c>
      <c r="K56" s="15"/>
      <c r="L56" s="15"/>
      <c r="M56" s="15"/>
      <c r="N56" s="15"/>
      <c r="O56" s="15"/>
      <c r="P56" s="1529"/>
      <c r="Q56" s="2455"/>
      <c r="S56" s="1362"/>
      <c r="T56" s="1306"/>
      <c r="U56" s="1307"/>
      <c r="V56" s="19"/>
      <c r="W56" s="1279">
        <f t="shared" si="1"/>
        <v>0</v>
      </c>
      <c r="X56" s="1289">
        <f>(W56/W27)*X27</f>
        <v>0</v>
      </c>
      <c r="Y56" s="18" t="str">
        <f>IF(ISBLANK(S56),"",(S56/W27)*X27)</f>
        <v/>
      </c>
      <c r="Z56" s="594">
        <f t="shared" si="10"/>
        <v>0</v>
      </c>
      <c r="AA56" s="1365">
        <f>W56/W27</f>
        <v>0</v>
      </c>
      <c r="AB56" s="630"/>
      <c r="AC56" s="624">
        <f>AB27</f>
        <v>0</v>
      </c>
      <c r="AD56" s="624">
        <f t="shared" si="7"/>
        <v>0</v>
      </c>
      <c r="AE56" s="1366">
        <f t="shared" si="8"/>
        <v>1</v>
      </c>
      <c r="AG56" s="1290">
        <f>((W56/W27)*AI27)</f>
        <v>0</v>
      </c>
      <c r="AH56" s="18">
        <f>IF(ISTEXT(S56),S56,IF(ISBLANK(S56),0,(S56/W27)*AI27))</f>
        <v>0</v>
      </c>
      <c r="AI56" s="17">
        <f t="shared" si="2"/>
        <v>0</v>
      </c>
      <c r="AJ56" s="1291">
        <f t="shared" si="3"/>
        <v>0</v>
      </c>
      <c r="AK56" s="1292">
        <f>AM27*AA56</f>
        <v>0</v>
      </c>
      <c r="AL56" s="18">
        <f>IF(ISBLANK(S56),0,(S56/W27)*AM27)</f>
        <v>0</v>
      </c>
      <c r="AM56" s="594">
        <f t="shared" si="4"/>
        <v>0</v>
      </c>
      <c r="AN56" s="1292">
        <f t="shared" si="9"/>
        <v>0</v>
      </c>
      <c r="AO56" s="1293">
        <f t="shared" si="5"/>
        <v>0</v>
      </c>
      <c r="AP56" s="18">
        <f>IF(ISBLANK(S56),0,(S56/W59)*AO60)</f>
        <v>0</v>
      </c>
      <c r="AQ56" s="594">
        <f t="shared" si="6"/>
        <v>0</v>
      </c>
      <c r="AR56" s="649" t="s">
        <v>588</v>
      </c>
      <c r="AS56" s="648" t="s">
        <v>589</v>
      </c>
      <c r="AT56" s="648" t="s">
        <v>587</v>
      </c>
      <c r="AU56" s="648">
        <v>3</v>
      </c>
      <c r="AW56" s="1580" t="s">
        <v>758</v>
      </c>
      <c r="AX56" s="1581">
        <f>ROW()</f>
        <v>56</v>
      </c>
    </row>
    <row r="57" spans="1:50" ht="18.95" customHeight="1">
      <c r="A57" s="2508"/>
      <c r="B57" s="1437">
        <f>IF(D26=1,AH57,IF(D26=2,AL57,IF(D26=3,AP57,IF(D26=4,AT57))))</f>
        <v>0</v>
      </c>
      <c r="C57" s="1438">
        <f>IF(D26=1,AI57,IF(D26=2,AM57,IF(D26=3,AQ57,IF(D26=4,AU57))))</f>
        <v>0</v>
      </c>
      <c r="D57" s="1510">
        <f>IF(D26=1,AG57,IF(D26=2,AK57,IF(D26=3,AO57,IF(D26=4,AS57))))</f>
        <v>0</v>
      </c>
      <c r="E57" s="1440" t="str">
        <f>IF(D26=1,"",IF(D57=F57,"",AD57))</f>
        <v/>
      </c>
      <c r="F57" s="1445" t="str">
        <f>IF(D26=1,"",IF(D26=2,AJ57,IF(D26=3,AN57,IF(D26=4,AR57))))</f>
        <v/>
      </c>
      <c r="G57" s="22">
        <f t="shared" si="0"/>
        <v>0</v>
      </c>
      <c r="H57" s="22"/>
      <c r="I57" s="2454"/>
      <c r="J57" s="1530">
        <v>28</v>
      </c>
      <c r="K57" s="15"/>
      <c r="L57" s="15"/>
      <c r="M57" s="15"/>
      <c r="N57" s="15"/>
      <c r="O57" s="15"/>
      <c r="P57" s="1529"/>
      <c r="Q57" s="2455"/>
      <c r="S57" s="1362"/>
      <c r="T57" s="1306"/>
      <c r="U57" s="1307"/>
      <c r="V57" s="19"/>
      <c r="W57" s="1279">
        <f t="shared" si="1"/>
        <v>0</v>
      </c>
      <c r="X57" s="1289">
        <f>(W57/W27)*X27</f>
        <v>0</v>
      </c>
      <c r="Y57" s="18" t="str">
        <f>IF(ISBLANK(S57),"",(S57/W27)*X27)</f>
        <v/>
      </c>
      <c r="Z57" s="594">
        <f t="shared" si="10"/>
        <v>0</v>
      </c>
      <c r="AA57" s="1365">
        <f>W57/W27</f>
        <v>0</v>
      </c>
      <c r="AB57" s="630"/>
      <c r="AC57" s="624">
        <f>AB27</f>
        <v>0</v>
      </c>
      <c r="AD57" s="624">
        <f t="shared" si="7"/>
        <v>0</v>
      </c>
      <c r="AE57" s="1366">
        <f t="shared" si="8"/>
        <v>1</v>
      </c>
      <c r="AG57" s="1290">
        <f>((W57/W27)*AI27)</f>
        <v>0</v>
      </c>
      <c r="AH57" s="18">
        <f>IF(ISTEXT(S57),S57,IF(ISBLANK(S57),0,(S57/W27)*AI27))</f>
        <v>0</v>
      </c>
      <c r="AI57" s="17">
        <f t="shared" si="2"/>
        <v>0</v>
      </c>
      <c r="AJ57" s="1291">
        <f t="shared" si="3"/>
        <v>0</v>
      </c>
      <c r="AK57" s="1292">
        <f>AM27*AA57</f>
        <v>0</v>
      </c>
      <c r="AL57" s="18">
        <f>IF(ISBLANK(S57),0,(S57/W27)*AM27)</f>
        <v>0</v>
      </c>
      <c r="AM57" s="594">
        <f t="shared" si="4"/>
        <v>0</v>
      </c>
      <c r="AN57" s="1292">
        <f t="shared" si="9"/>
        <v>0</v>
      </c>
      <c r="AO57" s="1293">
        <f t="shared" si="5"/>
        <v>0</v>
      </c>
      <c r="AP57" s="18">
        <f>IF(ISBLANK(S57),0,(S57/W59)*AO60)</f>
        <v>0</v>
      </c>
      <c r="AQ57" s="594">
        <f t="shared" si="6"/>
        <v>0</v>
      </c>
      <c r="AR57" s="649" t="s">
        <v>588</v>
      </c>
      <c r="AS57" s="648" t="s">
        <v>589</v>
      </c>
      <c r="AT57" s="648" t="s">
        <v>587</v>
      </c>
      <c r="AU57" s="648">
        <v>3</v>
      </c>
      <c r="AW57" s="791" t="s">
        <v>755</v>
      </c>
      <c r="AX57" s="1367">
        <f>ROW()</f>
        <v>57</v>
      </c>
    </row>
    <row r="58" spans="1:50" ht="18.95" customHeight="1">
      <c r="A58" s="2508"/>
      <c r="B58" s="1437">
        <f>IF(D26=1,AH58,IF(D26=2,AL58,IF(D26=3,AP58,IF(D26=4,AT58))))</f>
        <v>0</v>
      </c>
      <c r="C58" s="1438">
        <f>IF(D26=1,AI58,IF(D26=2,AM58,IF(D26=3,AQ58,IF(D26=4,AU58))))</f>
        <v>0</v>
      </c>
      <c r="D58" s="1510">
        <f>IF(D26=1,AG58,IF(D26=2,AK58,IF(D26=3,AO58,IF(D26=4,AS58))))</f>
        <v>0</v>
      </c>
      <c r="E58" s="1440" t="str">
        <f>IF(D26=1,"",IF(D58=F58,"",AD58))</f>
        <v/>
      </c>
      <c r="F58" s="1445" t="str">
        <f>IF(D26=1,"",IF(D26=2,AJ58,IF(D26=3,AN58,IF(D26=4,AR58))))</f>
        <v/>
      </c>
      <c r="G58" s="22">
        <f t="shared" si="0"/>
        <v>0</v>
      </c>
      <c r="H58" s="22"/>
      <c r="I58" s="2454"/>
      <c r="J58" s="1530">
        <v>29</v>
      </c>
      <c r="K58" s="15"/>
      <c r="L58" s="15"/>
      <c r="M58" s="15"/>
      <c r="N58" s="15"/>
      <c r="O58" s="15"/>
      <c r="P58" s="1529"/>
      <c r="Q58" s="2455"/>
      <c r="S58" s="1362"/>
      <c r="T58" s="1306"/>
      <c r="U58" s="1307"/>
      <c r="V58" s="19"/>
      <c r="W58" s="1279">
        <f t="shared" si="1"/>
        <v>0</v>
      </c>
      <c r="X58" s="1289">
        <f>(W58/W27)*X27</f>
        <v>0</v>
      </c>
      <c r="Y58" s="18" t="str">
        <f>IF(ISBLANK(S58),"",(S58/W27)*X27)</f>
        <v/>
      </c>
      <c r="Z58" s="594">
        <f t="shared" si="10"/>
        <v>0</v>
      </c>
      <c r="AA58" s="1365">
        <f>W58/W27</f>
        <v>0</v>
      </c>
      <c r="AB58" s="630"/>
      <c r="AC58" s="624">
        <f>AB27</f>
        <v>0</v>
      </c>
      <c r="AD58" s="624">
        <f t="shared" si="7"/>
        <v>0</v>
      </c>
      <c r="AE58" s="1366">
        <f t="shared" si="8"/>
        <v>1</v>
      </c>
      <c r="AG58" s="1290">
        <f>((W58/W27)*AI27)</f>
        <v>0</v>
      </c>
      <c r="AH58" s="18">
        <f>IF(ISTEXT(S58),S58,IF(ISBLANK(S58),0,(S58/W27)*AI27))</f>
        <v>0</v>
      </c>
      <c r="AI58" s="17">
        <f t="shared" si="2"/>
        <v>0</v>
      </c>
      <c r="AJ58" s="1291">
        <f t="shared" si="3"/>
        <v>0</v>
      </c>
      <c r="AK58" s="1292">
        <f>AM27*AA58</f>
        <v>0</v>
      </c>
      <c r="AL58" s="18">
        <f>IF(ISBLANK(S58),0,(S58/W27)*AM27)</f>
        <v>0</v>
      </c>
      <c r="AM58" s="594">
        <f t="shared" si="4"/>
        <v>0</v>
      </c>
      <c r="AN58" s="1292">
        <f t="shared" si="9"/>
        <v>0</v>
      </c>
      <c r="AO58" s="1293">
        <f t="shared" si="5"/>
        <v>0</v>
      </c>
      <c r="AP58" s="18">
        <f>IF(ISBLANK(S58),0,(S58/W59)*AO60)</f>
        <v>0</v>
      </c>
      <c r="AQ58" s="594">
        <f t="shared" si="6"/>
        <v>0</v>
      </c>
      <c r="AR58" s="649" t="s">
        <v>588</v>
      </c>
      <c r="AS58" s="648" t="s">
        <v>589</v>
      </c>
      <c r="AT58" s="648" t="s">
        <v>587</v>
      </c>
      <c r="AU58" s="648">
        <v>3</v>
      </c>
      <c r="AW58" s="791" t="s">
        <v>755</v>
      </c>
      <c r="AX58" s="1478">
        <f>ROW()</f>
        <v>58</v>
      </c>
    </row>
    <row r="59" spans="1:50" ht="18.95" customHeight="1">
      <c r="A59" s="2508"/>
      <c r="B59" s="606" t="s">
        <v>22</v>
      </c>
      <c r="C59" s="606" t="s">
        <v>575</v>
      </c>
      <c r="D59" s="606" t="s">
        <v>585</v>
      </c>
      <c r="E59" s="635" t="s">
        <v>583</v>
      </c>
      <c r="F59" s="606" t="s">
        <v>584</v>
      </c>
      <c r="G59" s="606"/>
      <c r="H59" s="606"/>
      <c r="I59" s="2454"/>
      <c r="J59" s="1530">
        <v>30</v>
      </c>
      <c r="K59" s="15"/>
      <c r="L59" s="15"/>
      <c r="M59" s="15"/>
      <c r="N59" s="15"/>
      <c r="O59" s="15"/>
      <c r="P59" s="1529"/>
      <c r="Q59" s="2455"/>
      <c r="S59" s="1537"/>
      <c r="T59" s="13"/>
      <c r="U59" s="653">
        <f>SUM(U28:U58)</f>
        <v>0.7</v>
      </c>
      <c r="V59" s="13"/>
      <c r="W59" s="1287">
        <f>SUM(W28:W58)</f>
        <v>0.7</v>
      </c>
      <c r="X59" s="597"/>
      <c r="Y59" s="597"/>
      <c r="Z59" s="598"/>
      <c r="AA59" s="632"/>
      <c r="AB59" s="1296">
        <f>COUNTIF(AD29:AD58,"&gt;0")</f>
        <v>0</v>
      </c>
      <c r="AC59" s="631"/>
      <c r="AD59" s="621"/>
      <c r="AE59" s="598"/>
      <c r="AG59" s="607" t="s">
        <v>22</v>
      </c>
      <c r="AH59" s="621"/>
      <c r="AI59" s="621"/>
      <c r="AJ59" s="607" t="s">
        <v>22</v>
      </c>
      <c r="AK59" s="606" t="s">
        <v>22</v>
      </c>
      <c r="AL59" s="606" t="s">
        <v>225</v>
      </c>
      <c r="AM59" s="604" t="s">
        <v>575</v>
      </c>
      <c r="AN59" s="607" t="s">
        <v>22</v>
      </c>
      <c r="AO59" s="606" t="s">
        <v>22</v>
      </c>
      <c r="AP59" s="606" t="s">
        <v>225</v>
      </c>
      <c r="AQ59" s="604" t="s">
        <v>575</v>
      </c>
      <c r="AR59" s="606"/>
      <c r="AS59" s="618"/>
      <c r="AT59" s="606"/>
      <c r="AU59" s="606"/>
      <c r="AW59" s="791" t="s">
        <v>755</v>
      </c>
      <c r="AX59" s="1478">
        <f>ROW()</f>
        <v>59</v>
      </c>
    </row>
    <row r="60" spans="1:50" ht="18.95" customHeight="1">
      <c r="A60" s="2508"/>
      <c r="B60" s="1311">
        <f>SUM(B29:B58)</f>
        <v>0</v>
      </c>
      <c r="C60" s="1299" t="str">
        <f>IF((F60)=0,"",(D60-F60))</f>
        <v/>
      </c>
      <c r="D60" s="1299">
        <f>SUM(D29:D58)</f>
        <v>5</v>
      </c>
      <c r="E60" s="636" t="e">
        <f>C60/D60</f>
        <v>#VALUE!</v>
      </c>
      <c r="F60" s="1299">
        <f>SUM(F29:F58)</f>
        <v>0</v>
      </c>
      <c r="G60" s="1076" t="s">
        <v>1590</v>
      </c>
      <c r="H60" s="606"/>
      <c r="I60" s="2454"/>
      <c r="J60" s="1530">
        <v>31</v>
      </c>
      <c r="K60" s="21" t="s">
        <v>28</v>
      </c>
      <c r="L60" s="15"/>
      <c r="M60" s="15"/>
      <c r="N60" s="15"/>
      <c r="O60" s="15"/>
      <c r="P60" s="1529"/>
      <c r="Q60" s="2455"/>
      <c r="S60" s="2437" t="s">
        <v>6</v>
      </c>
      <c r="T60" s="1368" t="s">
        <v>5</v>
      </c>
      <c r="U60" s="1609" t="s">
        <v>1741</v>
      </c>
      <c r="V60" s="1609"/>
      <c r="W60" s="780"/>
      <c r="X60" s="1299">
        <f>SUM(X29:X59)</f>
        <v>1</v>
      </c>
      <c r="Y60" s="1299">
        <f>SUM(Y29:Y59)</f>
        <v>0</v>
      </c>
      <c r="Z60" s="599" t="s">
        <v>14</v>
      </c>
      <c r="AA60" s="633"/>
      <c r="AB60" s="1493"/>
      <c r="AC60" s="1493"/>
      <c r="AD60" s="4"/>
      <c r="AE60" s="599"/>
      <c r="AG60" s="1297">
        <f>SUM(AG29:AG58)</f>
        <v>5</v>
      </c>
      <c r="AH60" s="4"/>
      <c r="AI60" s="4"/>
      <c r="AJ60" s="1297">
        <f>SUM(AJ29:AJ58)</f>
        <v>5</v>
      </c>
      <c r="AK60" s="1299">
        <f>SUM(AK29:AK58)</f>
        <v>5</v>
      </c>
      <c r="AL60" s="605">
        <f>(AM60/AK60%)</f>
        <v>0</v>
      </c>
      <c r="AM60" s="1494">
        <f>AK60-AJ60</f>
        <v>0</v>
      </c>
      <c r="AN60" s="1299">
        <f>SUM(AN29:AN58)</f>
        <v>5</v>
      </c>
      <c r="AO60" s="1299">
        <f>SUM(AO29:AO58)</f>
        <v>5</v>
      </c>
      <c r="AP60" s="717">
        <f>(AQ60/AO60%)</f>
        <v>0</v>
      </c>
      <c r="AQ60" s="1494">
        <f>AO60-AN60</f>
        <v>0</v>
      </c>
      <c r="AR60" s="650"/>
      <c r="AS60" s="651"/>
      <c r="AT60" s="650"/>
      <c r="AU60" s="652"/>
      <c r="AW60" s="791" t="s">
        <v>755</v>
      </c>
      <c r="AX60" s="1478">
        <f>ROW()</f>
        <v>60</v>
      </c>
    </row>
    <row r="61" spans="1:50" ht="18.95" customHeight="1" thickBot="1">
      <c r="A61" s="2508"/>
      <c r="B61" s="1597" t="str">
        <f>ADDRESS(ROW(),COLUMN(),4)</f>
        <v>B61</v>
      </c>
      <c r="C61" s="1371">
        <v>12</v>
      </c>
      <c r="D61" s="1598" t="s">
        <v>1697</v>
      </c>
      <c r="E61" s="1373"/>
      <c r="F61" s="1373"/>
      <c r="G61" s="1374"/>
      <c r="H61" s="2506">
        <f>(C62*C61)/1000</f>
        <v>1.32</v>
      </c>
      <c r="I61" s="2454"/>
      <c r="J61" s="1530">
        <v>32</v>
      </c>
      <c r="K61" s="16" t="s">
        <v>23</v>
      </c>
      <c r="L61" s="15"/>
      <c r="M61" s="15"/>
      <c r="N61" s="15"/>
      <c r="O61" s="15"/>
      <c r="P61" s="1529"/>
      <c r="Q61" s="2455"/>
      <c r="S61" s="2505"/>
      <c r="T61" s="1285" t="s">
        <v>5</v>
      </c>
      <c r="U61" s="1610" t="s">
        <v>1771</v>
      </c>
      <c r="V61" s="1610"/>
      <c r="W61" s="789"/>
      <c r="X61" s="1487"/>
      <c r="Y61" s="1488"/>
      <c r="Z61" s="1489"/>
      <c r="AA61" s="1489"/>
      <c r="AB61" s="1490"/>
      <c r="AC61" s="1490"/>
      <c r="AD61" s="1489"/>
      <c r="AE61" s="1491"/>
      <c r="AF61" s="344"/>
      <c r="AG61" s="1492"/>
      <c r="AH61" s="1489"/>
      <c r="AI61" s="1491"/>
      <c r="AJ61" s="1489"/>
      <c r="AK61" s="1489"/>
      <c r="AL61" s="1489"/>
      <c r="AM61" s="1491"/>
      <c r="AN61" s="1489"/>
      <c r="AO61" s="1489"/>
      <c r="AP61" s="1489"/>
      <c r="AQ61" s="1491"/>
      <c r="AR61" s="1489"/>
      <c r="AS61" s="1489"/>
      <c r="AT61" s="1489"/>
      <c r="AU61" s="1489"/>
      <c r="AW61" s="791" t="s">
        <v>755</v>
      </c>
      <c r="AX61" s="1478">
        <f>ROW()</f>
        <v>61</v>
      </c>
    </row>
    <row r="62" spans="1:50" ht="19.5" customHeight="1" thickBot="1">
      <c r="A62" s="2508"/>
      <c r="B62" s="1599" t="str">
        <f t="shared" ref="B62:B64" si="11">ADDRESS(ROW(),COLUMN(),4)</f>
        <v>B62</v>
      </c>
      <c r="C62" s="1377">
        <v>110</v>
      </c>
      <c r="D62" s="1378" t="s">
        <v>1710</v>
      </c>
      <c r="E62" s="1379"/>
      <c r="F62" s="1379"/>
      <c r="G62" s="1380" t="s">
        <v>1711</v>
      </c>
      <c r="H62" s="2507"/>
      <c r="I62" s="2454"/>
      <c r="J62" s="1530">
        <v>33</v>
      </c>
      <c r="K62" s="8" t="s">
        <v>15</v>
      </c>
      <c r="L62" s="7" t="s">
        <v>9</v>
      </c>
      <c r="M62" s="7"/>
      <c r="N62" s="7"/>
      <c r="O62" s="6"/>
      <c r="P62" s="1529"/>
      <c r="Q62" s="2455"/>
      <c r="S62" s="53"/>
      <c r="T62" s="53"/>
      <c r="U62" s="1070" t="s">
        <v>1569</v>
      </c>
      <c r="V62" s="53"/>
      <c r="W62" s="53"/>
      <c r="X62" s="53"/>
      <c r="Y62" s="53"/>
      <c r="Z62" s="53"/>
      <c r="AA62" s="53"/>
      <c r="AB62" s="53"/>
      <c r="AC62" s="53"/>
      <c r="AD62" s="53"/>
      <c r="AE62" s="53"/>
      <c r="AG62" s="53"/>
      <c r="AH62" s="53"/>
      <c r="AI62" s="53"/>
      <c r="AJ62" s="1117"/>
      <c r="AK62" s="1116"/>
      <c r="AL62" s="1116"/>
      <c r="AM62" s="1116"/>
      <c r="AN62" s="1116"/>
      <c r="AO62" s="1117"/>
      <c r="AP62" s="779"/>
      <c r="AQ62" s="779"/>
      <c r="AR62" s="779"/>
      <c r="AS62" s="779"/>
      <c r="AT62" s="779"/>
      <c r="AU62" s="779"/>
      <c r="AW62" s="791" t="s">
        <v>755</v>
      </c>
      <c r="AX62" s="1478">
        <f>ROW()</f>
        <v>62</v>
      </c>
    </row>
    <row r="63" spans="1:50" ht="19.5" customHeight="1">
      <c r="A63" s="2508"/>
      <c r="B63" s="1599" t="str">
        <f t="shared" si="11"/>
        <v>B63</v>
      </c>
      <c r="C63" s="1381">
        <f>P24</f>
        <v>37.037037037037038</v>
      </c>
      <c r="D63" s="1382" t="s">
        <v>1715</v>
      </c>
      <c r="E63" s="1383"/>
      <c r="F63" s="1383"/>
      <c r="G63" s="1384"/>
      <c r="H63" s="2506">
        <f>((W59/C63)*C64)</f>
        <v>0.18899999999999997</v>
      </c>
      <c r="I63" s="2454"/>
      <c r="J63" s="1600"/>
      <c r="K63" s="606"/>
      <c r="L63" s="606"/>
      <c r="M63" s="606"/>
      <c r="N63" s="606"/>
      <c r="O63" s="606"/>
      <c r="P63" s="1601"/>
      <c r="Q63" s="2455"/>
      <c r="S63" s="53"/>
      <c r="T63" s="53"/>
      <c r="U63" s="1071">
        <v>6</v>
      </c>
      <c r="V63" s="53"/>
      <c r="W63" s="53"/>
      <c r="X63" s="53"/>
      <c r="Y63" s="53"/>
      <c r="Z63" s="53"/>
      <c r="AA63" s="53"/>
      <c r="AB63" s="53"/>
      <c r="AC63" s="53"/>
      <c r="AD63" s="53"/>
      <c r="AE63" s="53"/>
      <c r="AG63" s="53"/>
      <c r="AH63" s="53"/>
      <c r="AI63" s="53"/>
      <c r="AJ63" s="53"/>
      <c r="AK63" s="53"/>
      <c r="AL63" s="53"/>
      <c r="AM63" s="53"/>
      <c r="AN63" s="53"/>
      <c r="AO63" s="53"/>
      <c r="AP63" s="779"/>
      <c r="AQ63" s="779"/>
      <c r="AR63" s="779"/>
      <c r="AS63" s="779"/>
      <c r="AT63" s="779"/>
      <c r="AU63" s="779"/>
      <c r="AW63" s="791" t="s">
        <v>755</v>
      </c>
      <c r="AX63" s="1478">
        <f>ROW()</f>
        <v>63</v>
      </c>
    </row>
    <row r="64" spans="1:50" ht="19.5" customHeight="1">
      <c r="A64" s="2508"/>
      <c r="B64" s="1385" t="str">
        <f t="shared" si="11"/>
        <v>B64</v>
      </c>
      <c r="C64" s="1386">
        <v>10</v>
      </c>
      <c r="D64" s="1387" t="s">
        <v>1713</v>
      </c>
      <c r="E64" s="1388"/>
      <c r="F64" s="1388"/>
      <c r="G64" s="1389"/>
      <c r="H64" s="2507"/>
      <c r="I64" s="2454"/>
      <c r="J64" s="1932" t="s">
        <v>7</v>
      </c>
      <c r="K64" s="1933" t="str">
        <f ca="1">CELL("nomfichier")</f>
        <v>F:\Bureau\pour UPRT 5 decembre\[re-boudins-blancs.xlsx]CONTENU</v>
      </c>
      <c r="L64" s="1508"/>
      <c r="M64" s="1508"/>
      <c r="N64" s="1508"/>
      <c r="O64" s="1508"/>
      <c r="P64" s="1602"/>
      <c r="Q64" s="1087" t="s">
        <v>818</v>
      </c>
      <c r="S64" s="53"/>
      <c r="T64" s="53"/>
      <c r="U64" s="1071">
        <v>6</v>
      </c>
      <c r="V64" s="53"/>
      <c r="W64" s="53"/>
      <c r="X64" s="53"/>
      <c r="Y64" s="53"/>
      <c r="Z64" s="53"/>
      <c r="AA64" s="53"/>
      <c r="AB64" s="53"/>
      <c r="AC64" s="53"/>
      <c r="AD64" s="53"/>
      <c r="AE64" s="53"/>
      <c r="AG64" s="53"/>
      <c r="AH64" s="53"/>
      <c r="AI64" s="53"/>
      <c r="AJ64" s="53"/>
      <c r="AK64" s="53"/>
      <c r="AL64" s="53"/>
      <c r="AM64" s="53"/>
      <c r="AN64" s="53"/>
      <c r="AO64" s="53"/>
      <c r="AP64" s="779"/>
      <c r="AQ64" s="779"/>
      <c r="AR64" s="779"/>
      <c r="AS64" s="779"/>
      <c r="AT64" s="779"/>
      <c r="AU64" s="779"/>
      <c r="AW64" s="791" t="s">
        <v>755</v>
      </c>
      <c r="AX64" s="1478">
        <f>ROW()</f>
        <v>64</v>
      </c>
    </row>
    <row r="65" spans="2:30" ht="18.95" customHeight="1" thickBot="1"/>
    <row r="66" spans="2:30" ht="18.95" customHeight="1">
      <c r="B66" s="1390" t="s">
        <v>1571</v>
      </c>
      <c r="C66" s="2515" t="s">
        <v>1570</v>
      </c>
      <c r="D66" s="2515"/>
      <c r="E66" s="2515"/>
      <c r="F66" s="2515"/>
      <c r="G66" s="2515"/>
      <c r="S66" s="1323" t="str">
        <f>ADDRESS(ROW(),COLUMN(),4)</f>
        <v>S66</v>
      </c>
      <c r="T66" s="2439" t="s">
        <v>1569</v>
      </c>
      <c r="U66" s="2439"/>
      <c r="V66" s="2439"/>
      <c r="W66" s="2440"/>
      <c r="Y66" s="2413" t="s">
        <v>726</v>
      </c>
      <c r="Z66" s="2414"/>
      <c r="AA66" s="2414"/>
      <c r="AB66" s="2414"/>
      <c r="AC66" s="2414"/>
      <c r="AD66" s="2415"/>
    </row>
    <row r="67" spans="2:30" ht="18.95" customHeight="1">
      <c r="B67" s="1"/>
      <c r="C67" s="1"/>
      <c r="D67" s="1"/>
      <c r="E67" s="1"/>
      <c r="F67" s="1"/>
      <c r="G67" s="1"/>
      <c r="S67" s="1322" t="s">
        <v>1705</v>
      </c>
      <c r="T67" s="2441"/>
      <c r="U67" s="2441"/>
      <c r="V67" s="2441"/>
      <c r="W67" s="2442"/>
      <c r="Y67" s="2516" t="s">
        <v>722</v>
      </c>
      <c r="Z67" s="2417"/>
      <c r="AA67" s="725" t="s">
        <v>725</v>
      </c>
      <c r="AB67" s="1481" t="s">
        <v>721</v>
      </c>
      <c r="AC67" s="2418" t="s">
        <v>66</v>
      </c>
      <c r="AD67" s="2419"/>
    </row>
    <row r="68" spans="2:30" ht="21" customHeight="1">
      <c r="B68" s="1390" t="s">
        <v>1571</v>
      </c>
      <c r="C68" s="2515" t="s">
        <v>1572</v>
      </c>
      <c r="D68" s="2515"/>
      <c r="E68" s="2515"/>
      <c r="F68" s="2515"/>
      <c r="G68" s="2515"/>
      <c r="S68" s="2380" t="s">
        <v>144</v>
      </c>
      <c r="T68" s="2381"/>
      <c r="U68" s="2381"/>
      <c r="V68" s="2381"/>
      <c r="W68" s="2382"/>
      <c r="Y68" s="2429">
        <v>20</v>
      </c>
      <c r="Z68" s="2424">
        <f>Y68/100</f>
        <v>0.2</v>
      </c>
      <c r="AA68" s="1068" t="s">
        <v>206</v>
      </c>
      <c r="AB68" s="724">
        <v>1</v>
      </c>
      <c r="AC68" s="1107">
        <f>(Y68*AB68)*10</f>
        <v>200</v>
      </c>
      <c r="AD68" s="1109">
        <f>AC68/1000</f>
        <v>0.2</v>
      </c>
    </row>
    <row r="69" spans="2:30" ht="27" customHeight="1">
      <c r="S69" s="2380"/>
      <c r="T69" s="2381"/>
      <c r="U69" s="2381"/>
      <c r="V69" s="2381"/>
      <c r="W69" s="2382"/>
      <c r="Y69" s="2429"/>
      <c r="Z69" s="2424"/>
      <c r="AA69" s="1068" t="s">
        <v>727</v>
      </c>
      <c r="AB69" s="724">
        <v>1.03</v>
      </c>
      <c r="AC69" s="1107">
        <f>(Y68*AB69)*10</f>
        <v>206</v>
      </c>
      <c r="AD69" s="1109">
        <f t="shared" ref="AD69:AD72" si="12">AC69/1000</f>
        <v>0.20599999999999999</v>
      </c>
    </row>
    <row r="70" spans="2:30" ht="15" customHeight="1">
      <c r="S70" s="2431" t="s">
        <v>1602</v>
      </c>
      <c r="T70" s="2432"/>
      <c r="U70" s="2432"/>
      <c r="V70" s="2432"/>
      <c r="W70" s="2433"/>
      <c r="Y70" s="2429"/>
      <c r="Z70" s="2424"/>
      <c r="AA70" s="1068" t="s">
        <v>728</v>
      </c>
      <c r="AB70" s="724">
        <v>1.0149999999999999</v>
      </c>
      <c r="AC70" s="1107">
        <f>(AB70*Y68)*10</f>
        <v>202.99999999999997</v>
      </c>
      <c r="AD70" s="1109">
        <f t="shared" si="12"/>
        <v>0.20299999999999996</v>
      </c>
    </row>
    <row r="71" spans="2:30" ht="15" customHeight="1">
      <c r="S71" s="2431"/>
      <c r="T71" s="2432"/>
      <c r="U71" s="2432"/>
      <c r="V71" s="2432"/>
      <c r="W71" s="2433"/>
      <c r="Y71" s="2429"/>
      <c r="Z71" s="2424"/>
      <c r="AA71" s="1068" t="s">
        <v>723</v>
      </c>
      <c r="AB71" s="724">
        <v>0.92</v>
      </c>
      <c r="AC71" s="1107">
        <f>(AB71*Y68)*10</f>
        <v>184.00000000000003</v>
      </c>
      <c r="AD71" s="1109">
        <f t="shared" si="12"/>
        <v>0.18400000000000002</v>
      </c>
    </row>
    <row r="72" spans="2:30" ht="15" customHeight="1" thickBot="1">
      <c r="S72" s="2434" t="s">
        <v>1603</v>
      </c>
      <c r="T72" s="2435"/>
      <c r="U72" s="2435"/>
      <c r="V72" s="2435"/>
      <c r="W72" s="2436"/>
      <c r="Y72" s="2430"/>
      <c r="Z72" s="2425"/>
      <c r="AA72" s="1069" t="s">
        <v>724</v>
      </c>
      <c r="AB72" s="900">
        <v>0.8</v>
      </c>
      <c r="AC72" s="1108">
        <f>(AB72*Y68)*10</f>
        <v>160</v>
      </c>
      <c r="AD72" s="1110">
        <f t="shared" si="12"/>
        <v>0.16</v>
      </c>
    </row>
    <row r="73" spans="2:30" ht="15" customHeight="1">
      <c r="S73" s="1128"/>
      <c r="T73" s="1126"/>
      <c r="U73" s="1126"/>
      <c r="V73" s="1126"/>
      <c r="W73" s="1129"/>
    </row>
    <row r="74" spans="2:30" ht="15" customHeight="1">
      <c r="S74" s="2411" t="s">
        <v>1605</v>
      </c>
      <c r="T74" s="2412"/>
      <c r="U74" s="2412"/>
      <c r="V74" s="2412"/>
      <c r="W74" s="1127" t="str">
        <f>LEFT(ADDRESS(1,COLUMN(),4),LEN(ADDRESS(1,COLUMN(),4))-1)</f>
        <v>W</v>
      </c>
    </row>
    <row r="75" spans="2:30" ht="15.75" customHeight="1">
      <c r="S75" s="734" t="s">
        <v>1593</v>
      </c>
      <c r="T75" s="1"/>
      <c r="U75" s="1"/>
      <c r="V75" s="1"/>
      <c r="W75" s="2"/>
    </row>
    <row r="76" spans="2:30" ht="15.75" customHeight="1">
      <c r="S76" s="2420" t="s">
        <v>1604</v>
      </c>
      <c r="T76" s="2421"/>
      <c r="U76" s="2421"/>
      <c r="V76" s="2421"/>
      <c r="W76" s="2"/>
    </row>
    <row r="77" spans="2:30" ht="18.75" customHeight="1">
      <c r="S77" s="2420"/>
      <c r="T77" s="2421"/>
      <c r="U77" s="2421"/>
      <c r="V77" s="2421"/>
      <c r="W77" s="2"/>
    </row>
    <row r="78" spans="2:30" ht="18.75" customHeight="1">
      <c r="S78" s="2420"/>
      <c r="T78" s="2421"/>
      <c r="U78" s="2421"/>
      <c r="V78" s="2421"/>
      <c r="W78" s="2"/>
    </row>
    <row r="79" spans="2:30" ht="15" customHeight="1">
      <c r="S79" s="1086" t="s">
        <v>1594</v>
      </c>
      <c r="T79" s="1"/>
      <c r="U79" s="1"/>
      <c r="V79" s="1"/>
      <c r="W79" s="2"/>
    </row>
    <row r="80" spans="2:30" ht="15" customHeight="1">
      <c r="S80" s="1391"/>
      <c r="T80" s="1131"/>
      <c r="U80" s="1131"/>
      <c r="V80" s="1131"/>
      <c r="W80" s="1132"/>
    </row>
    <row r="81" spans="19:23" ht="15" customHeight="1">
      <c r="S81" s="1093" t="s">
        <v>75</v>
      </c>
      <c r="T81" s="2379" t="s">
        <v>670</v>
      </c>
      <c r="U81" s="2379"/>
      <c r="V81" s="2379"/>
      <c r="W81" s="1603" t="str">
        <f>+ADDRESS(ROW(T21),COLUMN(T21),4)</f>
        <v>T21</v>
      </c>
    </row>
    <row r="82" spans="19:23" ht="15" customHeight="1">
      <c r="S82" s="2384" t="s">
        <v>72</v>
      </c>
      <c r="T82" s="2385" t="s">
        <v>669</v>
      </c>
      <c r="U82" s="2385"/>
      <c r="V82" s="2385"/>
      <c r="W82" s="2386" t="str">
        <f>ADDRESS(ROW(),COLUMN(T22),4)</f>
        <v>T82</v>
      </c>
    </row>
    <row r="83" spans="19:23" ht="15" customHeight="1">
      <c r="S83" s="2384"/>
      <c r="T83" s="2385"/>
      <c r="U83" s="2385"/>
      <c r="V83" s="2385"/>
      <c r="W83" s="2386"/>
    </row>
    <row r="84" spans="19:23" ht="15.75" customHeight="1">
      <c r="S84" s="1476" t="s">
        <v>71</v>
      </c>
      <c r="T84" s="1092"/>
      <c r="U84" s="1092"/>
      <c r="V84" s="1092"/>
      <c r="W84" s="1095" t="str">
        <f>ADDRESS(ROW(),COLUMN(V23),4)</f>
        <v>V84</v>
      </c>
    </row>
    <row r="85" spans="19:23">
      <c r="S85" s="2387" t="s">
        <v>684</v>
      </c>
      <c r="T85" s="2385"/>
      <c r="U85" s="2385"/>
      <c r="V85" s="2385"/>
      <c r="W85" s="2388"/>
    </row>
    <row r="86" spans="19:23">
      <c r="S86" s="2387"/>
      <c r="T86" s="2385"/>
      <c r="U86" s="2385"/>
      <c r="V86" s="2385"/>
      <c r="W86" s="2388"/>
    </row>
    <row r="87" spans="19:23" ht="15.75">
      <c r="S87" s="1043"/>
      <c r="T87" s="1039"/>
      <c r="U87" s="1039"/>
      <c r="V87" s="1039"/>
      <c r="W87" s="1103" t="s">
        <v>1584</v>
      </c>
    </row>
    <row r="88" spans="19:23" ht="15.75">
      <c r="S88" s="2389" t="s">
        <v>62</v>
      </c>
      <c r="T88" s="2390"/>
      <c r="U88" s="2390"/>
      <c r="V88" s="2390"/>
      <c r="W88" s="2378" t="str">
        <f>LEFT(ADDRESS(1,COLUMN(V28),4),LEN(ADDRESS(1,COLUMN(),4))-1)</f>
        <v>V</v>
      </c>
    </row>
    <row r="89" spans="19:23" ht="15.75">
      <c r="S89" s="1474" t="s">
        <v>61</v>
      </c>
      <c r="T89" s="1038" t="s">
        <v>60</v>
      </c>
      <c r="U89" s="1056" t="s">
        <v>63</v>
      </c>
      <c r="V89" s="1475"/>
      <c r="W89" s="2378"/>
    </row>
    <row r="90" spans="19:23" ht="15.75" customHeight="1">
      <c r="S90" s="1083" t="str">
        <f>LEFT(ADDRESS(1,COLUMN(S28),4),LEN(ADDRESS(1,COLUMN(),4))-1)</f>
        <v>S</v>
      </c>
      <c r="T90" s="1084" t="str">
        <f>LEFT(ADDRESS(1,COLUMN(T28),4),LEN(ADDRESS(1,COLUMN(),4))-1)</f>
        <v>T</v>
      </c>
      <c r="U90" s="1085" t="str">
        <f>LEFT(ADDRESS(1,COLUMN(U28),4),LEN(ADDRESS(1,COLUMN(),4))-1)</f>
        <v>U</v>
      </c>
      <c r="V90" s="1040"/>
      <c r="W90" s="1096"/>
    </row>
    <row r="91" spans="19:23" ht="18">
      <c r="S91" s="1392" t="s">
        <v>1696</v>
      </c>
      <c r="T91" s="1393"/>
      <c r="U91" s="1393"/>
      <c r="V91" s="1393"/>
      <c r="W91" s="1394" t="str">
        <f>ADDRESS(ROW(U29),COLUMN(U29),4)</f>
        <v>U29</v>
      </c>
    </row>
    <row r="92" spans="19:23" ht="18">
      <c r="S92" s="1045"/>
      <c r="T92" s="1041"/>
      <c r="U92" s="1041"/>
      <c r="V92" s="1041"/>
      <c r="W92" s="1098"/>
    </row>
    <row r="93" spans="19:23" ht="18.75">
      <c r="S93" s="1046" t="s">
        <v>1563</v>
      </c>
      <c r="T93" s="1047"/>
      <c r="U93" s="1047"/>
      <c r="V93" s="1047"/>
      <c r="W93" s="1099" t="str">
        <f>ADDRESS(ROW(S60),COLUMN(S60),4)</f>
        <v>S60</v>
      </c>
    </row>
    <row r="94" spans="19:23" ht="15.75" customHeight="1">
      <c r="S94" s="1048" t="s">
        <v>696</v>
      </c>
      <c r="T94" s="347"/>
      <c r="U94" s="347"/>
      <c r="V94" s="710"/>
      <c r="W94" s="1049"/>
    </row>
    <row r="95" spans="19:23" ht="15.75">
      <c r="S95" s="1048"/>
      <c r="T95" s="710"/>
      <c r="U95" s="710"/>
      <c r="V95" s="710"/>
      <c r="W95" s="1103" t="s">
        <v>1576</v>
      </c>
    </row>
    <row r="96" spans="19:23" ht="15" customHeight="1">
      <c r="S96" s="1395" t="s">
        <v>1564</v>
      </c>
      <c r="T96" s="1349"/>
      <c r="U96" s="1349"/>
      <c r="V96" s="1349"/>
      <c r="W96" s="1396" t="str">
        <f>ADDRESS(ROW(AB27),COLUMN(AB27),4)</f>
        <v>AB27</v>
      </c>
    </row>
    <row r="97" spans="19:23" ht="15" customHeight="1">
      <c r="S97" s="1066"/>
      <c r="T97" s="1067" t="s">
        <v>1583</v>
      </c>
      <c r="U97" s="710"/>
      <c r="V97" s="710"/>
      <c r="W97" s="1100"/>
    </row>
    <row r="98" spans="19:23" ht="18.75">
      <c r="S98" s="1050" t="s">
        <v>1565</v>
      </c>
      <c r="T98" s="1036"/>
      <c r="U98" s="1036"/>
      <c r="V98" s="1036"/>
      <c r="W98" s="1101" t="str">
        <f>ADDRESS(ROW(AB29),COLUMN(AB29),4)</f>
        <v>AB29</v>
      </c>
    </row>
    <row r="99" spans="19:23" ht="15" customHeight="1">
      <c r="S99" s="1051"/>
      <c r="T99" s="1042"/>
      <c r="U99" s="1042"/>
      <c r="V99" s="1042"/>
      <c r="W99" s="1102"/>
    </row>
    <row r="100" spans="19:23" ht="15.75" customHeight="1">
      <c r="S100" s="1052" t="s">
        <v>1606</v>
      </c>
      <c r="T100" s="1037"/>
      <c r="U100" s="1037"/>
      <c r="V100" s="1037"/>
      <c r="W100" s="1473" t="str">
        <f>ADDRESS(ROW(D24),COLUMN(D24),4)</f>
        <v>D24</v>
      </c>
    </row>
    <row r="101" spans="19:23" ht="15" customHeight="1">
      <c r="S101" s="1053" t="s">
        <v>1561</v>
      </c>
      <c r="T101" s="347"/>
      <c r="U101" s="347"/>
      <c r="V101" s="710"/>
      <c r="W101" s="1100"/>
    </row>
    <row r="102" spans="19:23" ht="15.75" customHeight="1">
      <c r="S102" s="1054"/>
      <c r="T102" s="710"/>
      <c r="U102" s="710"/>
      <c r="V102" s="710"/>
      <c r="W102" s="1100"/>
    </row>
    <row r="103" spans="19:23" ht="15" customHeight="1">
      <c r="S103" s="2399" t="s">
        <v>1568</v>
      </c>
      <c r="T103" s="2400"/>
      <c r="U103" s="2400"/>
      <c r="V103" s="2400"/>
      <c r="W103" s="2401" t="str">
        <f>ADDRESS(ROW(D26),COLUMN(D26),4)</f>
        <v>D26</v>
      </c>
    </row>
    <row r="104" spans="19:23">
      <c r="S104" s="2399"/>
      <c r="T104" s="2400"/>
      <c r="U104" s="2400"/>
      <c r="V104" s="2400"/>
      <c r="W104" s="2401"/>
    </row>
    <row r="105" spans="19:23">
      <c r="S105" s="681"/>
      <c r="T105" s="1"/>
      <c r="U105" s="1"/>
      <c r="V105" s="1"/>
      <c r="W105" s="2"/>
    </row>
    <row r="106" spans="19:23" ht="15" customHeight="1">
      <c r="S106" s="1397" t="s">
        <v>1582</v>
      </c>
      <c r="T106" s="1398"/>
      <c r="U106" s="1398"/>
      <c r="V106" s="1398"/>
      <c r="W106" s="2402" t="str">
        <f>ADDRESS(ROW(O24),COLUMN(O24),4)</f>
        <v>O24</v>
      </c>
    </row>
    <row r="107" spans="19:23" ht="15" customHeight="1">
      <c r="S107" s="2403" t="s">
        <v>1587</v>
      </c>
      <c r="T107" s="2404"/>
      <c r="U107" s="2404"/>
      <c r="V107" s="2404"/>
      <c r="W107" s="2402"/>
    </row>
    <row r="108" spans="19:23" ht="15" customHeight="1">
      <c r="S108" s="2522" t="s">
        <v>1601</v>
      </c>
      <c r="T108" s="2523"/>
      <c r="U108" s="2523"/>
      <c r="V108" s="2523"/>
      <c r="W108" s="2409" t="str">
        <f>ADDRESS(ROW(D24),COLUMN(D24),4)</f>
        <v>D24</v>
      </c>
    </row>
    <row r="109" spans="19:23" ht="15" customHeight="1">
      <c r="S109" s="2524"/>
      <c r="T109" s="2525"/>
      <c r="U109" s="2525"/>
      <c r="V109" s="2525"/>
      <c r="W109" s="2410"/>
    </row>
    <row r="110" spans="19:23" ht="19.5" customHeight="1">
      <c r="S110" s="2391" t="str">
        <f>ADDRESS(ROW(J24),COLUMN(J24),4)</f>
        <v>J24</v>
      </c>
      <c r="T110" s="2393" t="s">
        <v>1707</v>
      </c>
      <c r="U110" s="2393"/>
      <c r="V110" s="2395" t="s">
        <v>1708</v>
      </c>
      <c r="W110" s="2445">
        <f>P24</f>
        <v>37.037037037037038</v>
      </c>
    </row>
    <row r="111" spans="19:23" ht="15" customHeight="1">
      <c r="S111" s="2526"/>
      <c r="T111" s="2394"/>
      <c r="U111" s="2394"/>
      <c r="V111" s="2396"/>
      <c r="W111" s="2446"/>
    </row>
    <row r="112" spans="19:23" ht="15" customHeight="1">
      <c r="S112" s="1399" t="str">
        <f>ADDRESS(ROW(J26),COLUMN(J26),4)</f>
        <v>J26</v>
      </c>
      <c r="T112" s="1346" t="s">
        <v>1592</v>
      </c>
      <c r="U112" s="1347"/>
      <c r="V112" s="1480"/>
      <c r="W112" s="1400"/>
    </row>
    <row r="113" spans="12:23" ht="15" customHeight="1">
      <c r="S113" s="1468" t="str">
        <f>ADDRESS(ROW(J27),COLUMN(J27),4)</f>
        <v>J27</v>
      </c>
      <c r="T113" s="1080" t="s">
        <v>1591</v>
      </c>
      <c r="U113" s="1081"/>
      <c r="V113" s="1121" t="s">
        <v>1599</v>
      </c>
      <c r="W113" s="1122">
        <v>0.4</v>
      </c>
    </row>
    <row r="114" spans="12:23" ht="15" customHeight="1">
      <c r="S114" s="1137"/>
      <c r="T114" s="1133"/>
      <c r="U114" s="1134"/>
      <c r="V114" s="1135"/>
      <c r="W114" s="1136"/>
    </row>
    <row r="115" spans="12:23" ht="15" customHeight="1">
      <c r="S115" s="2527" t="s">
        <v>1714</v>
      </c>
      <c r="T115" s="2528"/>
      <c r="U115" s="2528"/>
      <c r="V115" s="2528"/>
      <c r="W115" s="1470" t="str">
        <f>ADDRESS(ROW(D61),COLUMN(D61),4)</f>
        <v>D61</v>
      </c>
    </row>
    <row r="116" spans="12:23" ht="15" customHeight="1">
      <c r="S116" s="681"/>
      <c r="T116" s="44"/>
      <c r="U116" s="44"/>
      <c r="V116" s="44"/>
      <c r="W116" s="1401"/>
    </row>
    <row r="117" spans="12:23" ht="18.75">
      <c r="S117" s="2529" t="s">
        <v>1578</v>
      </c>
      <c r="T117" s="2530"/>
      <c r="U117" s="2530"/>
      <c r="V117" s="2531"/>
      <c r="W117" s="1470" t="str">
        <f>B61</f>
        <v>B61</v>
      </c>
    </row>
    <row r="118" spans="12:23" ht="18.75" customHeight="1" thickBot="1">
      <c r="S118" s="2532" t="s">
        <v>1579</v>
      </c>
      <c r="T118" s="2533"/>
      <c r="U118" s="2533"/>
      <c r="V118" s="2533"/>
      <c r="W118" s="1065" t="str">
        <f>B62</f>
        <v>B62</v>
      </c>
    </row>
    <row r="119" spans="12:23">
      <c r="S119" s="2534" t="s">
        <v>1580</v>
      </c>
      <c r="T119" s="2535"/>
      <c r="U119" s="2535"/>
      <c r="V119" s="2535"/>
      <c r="W119" s="2536" t="str">
        <f>B63</f>
        <v>B63</v>
      </c>
    </row>
    <row r="120" spans="12:23" ht="15" customHeight="1">
      <c r="S120" s="2534"/>
      <c r="T120" s="2535"/>
      <c r="U120" s="2535"/>
      <c r="V120" s="2535"/>
      <c r="W120" s="2537"/>
    </row>
    <row r="121" spans="12:23" ht="15" customHeight="1">
      <c r="S121" s="2534" t="s">
        <v>1581</v>
      </c>
      <c r="T121" s="2535"/>
      <c r="U121" s="2535"/>
      <c r="V121" s="2535"/>
      <c r="W121" s="2537" t="str">
        <f>B64</f>
        <v>B64</v>
      </c>
    </row>
    <row r="122" spans="12:23" ht="15" customHeight="1">
      <c r="S122" s="2534"/>
      <c r="T122" s="2535"/>
      <c r="U122" s="2535"/>
      <c r="V122" s="2535"/>
      <c r="W122" s="2537"/>
    </row>
    <row r="123" spans="12:23" ht="15" customHeight="1">
      <c r="S123" s="2372" t="s">
        <v>754</v>
      </c>
      <c r="T123" s="2373"/>
      <c r="U123" s="2373"/>
      <c r="V123" s="2373"/>
      <c r="W123" s="2374"/>
    </row>
    <row r="124" spans="12:23">
      <c r="S124" s="2372"/>
      <c r="T124" s="2373"/>
      <c r="U124" s="2373"/>
      <c r="V124" s="2373"/>
      <c r="W124" s="2374"/>
    </row>
    <row r="125" spans="12:23" ht="18.75">
      <c r="S125" s="2375" t="s">
        <v>756</v>
      </c>
      <c r="T125" s="2376"/>
      <c r="U125" s="2376"/>
      <c r="V125" s="2376"/>
      <c r="W125" s="2377"/>
    </row>
    <row r="126" spans="12:23" ht="19.5" thickBot="1">
      <c r="L126" s="58"/>
      <c r="M126" s="58"/>
      <c r="N126" s="58"/>
      <c r="O126" s="58"/>
      <c r="P126" s="58"/>
      <c r="Q126" s="58"/>
      <c r="S126" s="1123"/>
      <c r="T126" s="2365" t="s">
        <v>757</v>
      </c>
      <c r="U126" s="2365"/>
      <c r="V126" s="1124" t="str">
        <f>LEFT(ADDRESS(1,COLUMN(AW21),4),LEN(ADDRESS(1,COLUMN(AW21),4))-1)</f>
        <v>AW</v>
      </c>
      <c r="W126" s="1125"/>
    </row>
    <row r="127" spans="12:23">
      <c r="S127" s="2366" t="s">
        <v>151</v>
      </c>
      <c r="T127" s="2367"/>
      <c r="U127" s="2367"/>
      <c r="V127" s="2367"/>
      <c r="W127" s="2368"/>
    </row>
    <row r="128" spans="12:23">
      <c r="S128" s="2369"/>
      <c r="T128" s="2370"/>
      <c r="U128" s="2370"/>
      <c r="V128" s="2370"/>
      <c r="W128" s="2371"/>
    </row>
    <row r="129" spans="12:23">
      <c r="S129" s="2369"/>
      <c r="T129" s="2370"/>
      <c r="U129" s="2370"/>
      <c r="V129" s="2370"/>
      <c r="W129" s="2371"/>
    </row>
    <row r="130" spans="12:23" ht="16.5" thickBot="1">
      <c r="S130" s="1138"/>
      <c r="T130" s="1139"/>
      <c r="U130" s="1139"/>
      <c r="V130" s="1139"/>
      <c r="W130" s="1140"/>
    </row>
    <row r="131" spans="12:23">
      <c r="L131" s="58"/>
      <c r="M131" s="58"/>
      <c r="N131" s="58"/>
      <c r="O131" s="58"/>
      <c r="P131" s="58"/>
      <c r="Q131" s="58"/>
    </row>
    <row r="139" spans="12:23">
      <c r="L139" s="58"/>
      <c r="M139" s="58"/>
      <c r="N139" s="58"/>
      <c r="O139" s="58"/>
      <c r="P139" s="58"/>
      <c r="Q139" s="58"/>
    </row>
    <row r="140" spans="12:23" ht="15" customHeight="1"/>
    <row r="141" spans="12:23" ht="15" customHeight="1"/>
    <row r="142" spans="12:23" ht="15" customHeight="1"/>
    <row r="143" spans="12:23" ht="15" customHeight="1"/>
    <row r="144" spans="12:23" ht="15" customHeight="1"/>
    <row r="145" ht="15" customHeight="1"/>
    <row r="146" ht="15" customHeight="1"/>
    <row r="147" ht="15" customHeight="1"/>
    <row r="148" ht="15" customHeight="1"/>
    <row r="149" ht="15" customHeight="1"/>
    <row r="150" ht="15" customHeight="1"/>
    <row r="151" ht="15" customHeight="1"/>
  </sheetData>
  <mergeCells count="83">
    <mergeCell ref="S123:W124"/>
    <mergeCell ref="S125:W125"/>
    <mergeCell ref="T126:U126"/>
    <mergeCell ref="S127:W129"/>
    <mergeCell ref="S115:V115"/>
    <mergeCell ref="S117:V117"/>
    <mergeCell ref="S118:V118"/>
    <mergeCell ref="S119:V120"/>
    <mergeCell ref="W119:W120"/>
    <mergeCell ref="S121:V122"/>
    <mergeCell ref="W121:W122"/>
    <mergeCell ref="S108:V109"/>
    <mergeCell ref="W108:W109"/>
    <mergeCell ref="S110:S111"/>
    <mergeCell ref="T110:U111"/>
    <mergeCell ref="V110:V111"/>
    <mergeCell ref="W110:W111"/>
    <mergeCell ref="W106:W107"/>
    <mergeCell ref="S107:V107"/>
    <mergeCell ref="S74:V74"/>
    <mergeCell ref="S76:V78"/>
    <mergeCell ref="T81:V81"/>
    <mergeCell ref="S82:S83"/>
    <mergeCell ref="T82:V83"/>
    <mergeCell ref="W82:W83"/>
    <mergeCell ref="S85:W86"/>
    <mergeCell ref="S88:V88"/>
    <mergeCell ref="W88:W89"/>
    <mergeCell ref="S103:V104"/>
    <mergeCell ref="W103:W104"/>
    <mergeCell ref="C68:G68"/>
    <mergeCell ref="S68:W69"/>
    <mergeCell ref="Y68:Y72"/>
    <mergeCell ref="Z68:Z72"/>
    <mergeCell ref="S70:W71"/>
    <mergeCell ref="S72:W72"/>
    <mergeCell ref="AJ25:AM26"/>
    <mergeCell ref="P26:P27"/>
    <mergeCell ref="E27:E28"/>
    <mergeCell ref="X27:Z27"/>
    <mergeCell ref="X24:Z26"/>
    <mergeCell ref="AA24:AA27"/>
    <mergeCell ref="AB24:AE26"/>
    <mergeCell ref="E25:F25"/>
    <mergeCell ref="P24:P25"/>
    <mergeCell ref="H63:H64"/>
    <mergeCell ref="C66:G66"/>
    <mergeCell ref="T66:W67"/>
    <mergeCell ref="Y66:AD66"/>
    <mergeCell ref="Y67:Z67"/>
    <mergeCell ref="AC67:AD67"/>
    <mergeCell ref="S60:S61"/>
    <mergeCell ref="H61:H62"/>
    <mergeCell ref="AG21:AU21"/>
    <mergeCell ref="A22:A64"/>
    <mergeCell ref="I22:I64"/>
    <mergeCell ref="Q22:Q63"/>
    <mergeCell ref="T22:W22"/>
    <mergeCell ref="X22:AE23"/>
    <mergeCell ref="AG22:AU23"/>
    <mergeCell ref="O23:P23"/>
    <mergeCell ref="V23:W23"/>
    <mergeCell ref="B24:C24"/>
    <mergeCell ref="D24:D25"/>
    <mergeCell ref="J24:J25"/>
    <mergeCell ref="K24:L25"/>
    <mergeCell ref="O24:O25"/>
    <mergeCell ref="AR25:AU26"/>
    <mergeCell ref="B2:Q2"/>
    <mergeCell ref="B20:Q20"/>
    <mergeCell ref="S20:W20"/>
    <mergeCell ref="X20:AE20"/>
    <mergeCell ref="B21:G21"/>
    <mergeCell ref="J21:O21"/>
    <mergeCell ref="T21:V21"/>
    <mergeCell ref="B15:Q15"/>
    <mergeCell ref="J4:N4"/>
    <mergeCell ref="J5:N5"/>
    <mergeCell ref="J7:K10"/>
    <mergeCell ref="L7:L10"/>
    <mergeCell ref="M7:N10"/>
    <mergeCell ref="AN25:AQ26"/>
    <mergeCell ref="AG25:AI26"/>
  </mergeCells>
  <hyperlinks>
    <hyperlink ref="C66" r:id="rId1"/>
    <hyperlink ref="C68:G68" r:id="rId2" display="Visuellement, ça représente quoi 100 calories ?"/>
    <hyperlink ref="L62" r:id="rId3"/>
    <hyperlink ref="D5" r:id="rId4"/>
    <hyperlink ref="D11" r:id="rId5"/>
  </hyperlinks>
  <printOptions horizontalCentered="1"/>
  <pageMargins left="0.23622047244094491" right="0.23622047244094491" top="0.15748031496062992" bottom="0.15748031496062992" header="0.11811023622047245" footer="0.11811023622047245"/>
  <pageSetup paperSize="9" scale="41" orientation="portrait" r:id="rId6"/>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showZeros="0" zoomScaleNormal="100" workbookViewId="0">
      <selection activeCell="L3" sqref="L3"/>
    </sheetView>
  </sheetViews>
  <sheetFormatPr baseColWidth="10" defaultRowHeight="15"/>
  <cols>
    <col min="1" max="1" width="2" customWidth="1"/>
    <col min="2" max="2" width="8.7109375" customWidth="1"/>
    <col min="3" max="3" width="10.7109375" customWidth="1"/>
    <col min="4" max="4" width="16.7109375" customWidth="1"/>
    <col min="5" max="5" width="7.28515625" customWidth="1"/>
    <col min="6" max="6" width="16.7109375" customWidth="1"/>
    <col min="7" max="7" width="60.7109375" customWidth="1"/>
    <col min="8" max="8" width="12.7109375" customWidth="1"/>
    <col min="9" max="9" width="2" customWidth="1"/>
    <col min="10" max="10" width="8.7109375" customWidth="1"/>
    <col min="11" max="11" width="10.7109375" customWidth="1"/>
    <col min="12" max="12" width="16.7109375" customWidth="1"/>
    <col min="13" max="13" width="7.28515625" customWidth="1"/>
    <col min="14" max="14" width="16.7109375" customWidth="1"/>
    <col min="15" max="15" width="60.7109375" customWidth="1"/>
    <col min="16" max="16" width="12.7109375" customWidth="1"/>
    <col min="17" max="17" width="2.28515625" customWidth="1"/>
    <col min="18" max="18" width="6.7109375" customWidth="1"/>
    <col min="19" max="19" width="8.7109375" customWidth="1"/>
    <col min="20" max="20" width="10.7109375" customWidth="1"/>
    <col min="21" max="21" width="16.7109375" customWidth="1"/>
    <col min="22" max="22" width="60.7109375" customWidth="1"/>
    <col min="23" max="31" width="12.7109375" customWidth="1"/>
    <col min="32" max="32" width="33.85546875" customWidth="1"/>
    <col min="33" max="47" width="12.7109375" customWidth="1"/>
  </cols>
  <sheetData>
    <row r="1" spans="1:79" s="1340" customFormat="1" ht="18.95" customHeight="1">
      <c r="A1"/>
      <c r="B1" s="1337">
        <v>8</v>
      </c>
      <c r="C1" s="1337">
        <v>10</v>
      </c>
      <c r="D1" s="1337">
        <v>16</v>
      </c>
      <c r="E1" s="1337">
        <v>6.57</v>
      </c>
      <c r="F1" s="1337">
        <v>16</v>
      </c>
      <c r="G1" s="1337">
        <v>60</v>
      </c>
      <c r="H1" s="1337">
        <v>12</v>
      </c>
      <c r="I1" s="1337"/>
      <c r="J1" s="1337">
        <v>8</v>
      </c>
      <c r="K1" s="1337">
        <v>10</v>
      </c>
      <c r="L1" s="1337">
        <v>16</v>
      </c>
      <c r="M1" s="1337">
        <v>6.57</v>
      </c>
      <c r="N1" s="1337">
        <v>16</v>
      </c>
      <c r="O1" s="1337">
        <v>60</v>
      </c>
      <c r="P1" s="1337">
        <v>12</v>
      </c>
      <c r="Q1" s="1338">
        <v>1.57</v>
      </c>
      <c r="R1" s="1339" t="s">
        <v>740</v>
      </c>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v>10</v>
      </c>
      <c r="AX1" s="52">
        <v>16</v>
      </c>
      <c r="AY1" s="52">
        <v>60</v>
      </c>
      <c r="AZ1" s="52">
        <v>12</v>
      </c>
      <c r="BA1" s="52">
        <v>12</v>
      </c>
      <c r="BB1" s="52">
        <v>12</v>
      </c>
      <c r="BC1" s="52">
        <v>12</v>
      </c>
      <c r="BD1" s="52">
        <v>12</v>
      </c>
      <c r="BE1" s="52">
        <v>12</v>
      </c>
      <c r="BF1" s="52">
        <v>12</v>
      </c>
      <c r="BG1" s="52">
        <v>12</v>
      </c>
      <c r="BH1" s="52">
        <v>12</v>
      </c>
      <c r="BI1" s="52"/>
      <c r="BJ1" s="52"/>
      <c r="BK1" s="52"/>
      <c r="BL1" s="52"/>
      <c r="BM1" s="52">
        <v>12</v>
      </c>
      <c r="BN1" s="52">
        <v>12</v>
      </c>
      <c r="BO1" s="52">
        <v>12</v>
      </c>
      <c r="BP1" s="52">
        <v>12</v>
      </c>
      <c r="BQ1" s="52">
        <v>12</v>
      </c>
      <c r="BR1" s="52">
        <v>12</v>
      </c>
      <c r="BS1" s="52">
        <v>12</v>
      </c>
      <c r="BT1" s="52">
        <v>12</v>
      </c>
      <c r="BU1" s="52">
        <v>12</v>
      </c>
      <c r="BV1" s="52">
        <v>12</v>
      </c>
      <c r="BW1" s="52">
        <v>12</v>
      </c>
      <c r="BX1" s="52">
        <v>12</v>
      </c>
      <c r="BY1" s="1340" t="s">
        <v>740</v>
      </c>
      <c r="CA1" s="1341" t="s">
        <v>1598</v>
      </c>
    </row>
    <row r="2" spans="1:79" ht="83.25" customHeight="1">
      <c r="B2" s="2475" t="s">
        <v>2204</v>
      </c>
      <c r="C2" s="2476"/>
      <c r="D2" s="2476"/>
      <c r="E2" s="2476"/>
      <c r="F2" s="2476"/>
      <c r="G2" s="2476"/>
      <c r="H2" s="2476"/>
      <c r="I2" s="2476"/>
      <c r="J2" s="2476"/>
      <c r="K2" s="2476"/>
      <c r="L2" s="2476"/>
      <c r="M2" s="2476"/>
      <c r="N2" s="2476"/>
      <c r="O2" s="2476"/>
      <c r="P2" s="2476"/>
      <c r="Q2" s="2476"/>
      <c r="R2" s="2476"/>
      <c r="S2" s="1342"/>
      <c r="U2" s="1342"/>
      <c r="V2" s="1342"/>
      <c r="W2" s="1342"/>
      <c r="X2" s="1342"/>
      <c r="Y2" s="1342"/>
      <c r="Z2" s="1342"/>
      <c r="AA2" s="1342"/>
      <c r="AB2" s="1342"/>
      <c r="AC2" s="1342"/>
      <c r="AD2" s="1342"/>
      <c r="AE2" s="1342"/>
      <c r="AF2" s="1342"/>
      <c r="AG2" s="1342"/>
      <c r="AH2" s="1342"/>
    </row>
    <row r="3" spans="1:79" ht="18.95" customHeight="1" thickBot="1">
      <c r="A3" s="55"/>
      <c r="B3" s="52"/>
      <c r="C3" s="52"/>
      <c r="D3" s="52"/>
      <c r="E3" s="52"/>
      <c r="F3" s="52"/>
      <c r="G3" s="52"/>
      <c r="H3" s="52"/>
      <c r="I3" s="52"/>
      <c r="J3" s="52"/>
      <c r="K3" s="52"/>
      <c r="L3" s="52"/>
      <c r="M3" s="52"/>
      <c r="N3" s="52"/>
      <c r="O3" s="52"/>
      <c r="P3" s="52"/>
      <c r="Q3" s="54"/>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row>
    <row r="4" spans="1:79" ht="26.25" customHeight="1" thickBot="1">
      <c r="A4" s="50" t="s">
        <v>742</v>
      </c>
      <c r="B4" s="2488" t="s">
        <v>2032</v>
      </c>
      <c r="C4" s="2478"/>
      <c r="D4" s="2478"/>
      <c r="E4" s="2478"/>
      <c r="F4" s="2478"/>
      <c r="G4" s="2478"/>
      <c r="H4" s="2478"/>
      <c r="I4" s="2478"/>
      <c r="J4" s="2478"/>
      <c r="K4" s="2478"/>
      <c r="L4" s="2478"/>
      <c r="M4" s="2478"/>
      <c r="N4" s="2478"/>
      <c r="O4" s="2478"/>
      <c r="P4" s="2478"/>
      <c r="Q4" s="2489"/>
      <c r="S4" s="2552" t="s">
        <v>1596</v>
      </c>
      <c r="T4" s="2481"/>
      <c r="U4" s="2481"/>
      <c r="V4" s="2481"/>
      <c r="W4" s="2481"/>
      <c r="X4" s="2452" t="s">
        <v>1595</v>
      </c>
      <c r="Y4" s="2452"/>
      <c r="Z4" s="2452"/>
      <c r="AA4" s="2452"/>
      <c r="AB4" s="2452"/>
      <c r="AC4" s="2452"/>
      <c r="AD4" s="2452"/>
      <c r="AE4" s="2482"/>
      <c r="AG4" s="1115"/>
      <c r="AH4" s="729"/>
      <c r="AI4" s="729"/>
      <c r="AJ4" s="729"/>
      <c r="AK4" s="729"/>
      <c r="AL4" s="729"/>
      <c r="AM4" s="729"/>
      <c r="AN4" s="729"/>
      <c r="AO4" s="729"/>
      <c r="AP4" s="729"/>
      <c r="AQ4" s="729"/>
      <c r="AR4" s="729"/>
      <c r="AS4" s="729"/>
      <c r="AT4" s="729"/>
      <c r="AU4" s="729"/>
    </row>
    <row r="5" spans="1:79" ht="28.5" customHeight="1">
      <c r="A5" s="49" t="s">
        <v>819</v>
      </c>
      <c r="B5" s="2538" t="str">
        <f>T5</f>
        <v>le BOUDIN BLANC - univ-lorraine.fr-ENSAIA-marie</v>
      </c>
      <c r="C5" s="2484"/>
      <c r="D5" s="2484"/>
      <c r="E5" s="2484"/>
      <c r="F5" s="2484"/>
      <c r="G5" s="2484"/>
      <c r="H5" s="654" t="str">
        <f>W5</f>
        <v>N°1</v>
      </c>
      <c r="I5" s="1467" t="s">
        <v>819</v>
      </c>
      <c r="J5" s="2539" t="str">
        <f>T5</f>
        <v>le BOUDIN BLANC - univ-lorraine.fr-ENSAIA-marie</v>
      </c>
      <c r="K5" s="2486"/>
      <c r="L5" s="2486"/>
      <c r="M5" s="2486"/>
      <c r="N5" s="2486"/>
      <c r="O5" s="2486"/>
      <c r="P5" s="654" t="str">
        <f>W5</f>
        <v>N°1</v>
      </c>
      <c r="Q5" s="1343" t="s">
        <v>818</v>
      </c>
      <c r="S5" s="339" t="s">
        <v>75</v>
      </c>
      <c r="T5" s="2487" t="s">
        <v>379</v>
      </c>
      <c r="U5" s="2487"/>
      <c r="V5" s="2487"/>
      <c r="W5" s="1104" t="s">
        <v>74</v>
      </c>
      <c r="X5" s="784"/>
      <c r="Y5" s="784"/>
      <c r="Z5" s="784"/>
      <c r="AA5" s="784"/>
      <c r="AB5" s="1332" t="str">
        <f>LEFT(ADDRESS(1,COLUMN(),4),LEN(ADDRESS(1,COLUMN(),4))-1)</f>
        <v>AB</v>
      </c>
      <c r="AC5" s="784"/>
      <c r="AD5" s="784"/>
      <c r="AE5" s="1114"/>
      <c r="AG5" s="2451" t="s">
        <v>735</v>
      </c>
      <c r="AH5" s="2452"/>
      <c r="AI5" s="2452"/>
      <c r="AJ5" s="2452"/>
      <c r="AK5" s="2452"/>
      <c r="AL5" s="2452"/>
      <c r="AM5" s="2452"/>
      <c r="AN5" s="2452"/>
      <c r="AO5" s="2452"/>
      <c r="AP5" s="2452"/>
      <c r="AQ5" s="2452"/>
      <c r="AR5" s="2452"/>
      <c r="AS5" s="2452"/>
      <c r="AT5" s="2452"/>
      <c r="AU5" s="2452"/>
    </row>
    <row r="6" spans="1:79" ht="18" customHeight="1">
      <c r="A6" s="2453"/>
      <c r="B6" s="45" t="s">
        <v>73</v>
      </c>
      <c r="C6" s="48" t="str">
        <f>T6</f>
        <v>MARIE    univ-ENSAIA-lorraine.fr</v>
      </c>
      <c r="D6" s="47"/>
      <c r="E6" s="47"/>
      <c r="F6" s="47"/>
      <c r="G6" s="47"/>
      <c r="H6" s="47"/>
      <c r="I6" s="2454"/>
      <c r="J6" s="44" t="s">
        <v>73</v>
      </c>
      <c r="K6" s="48" t="str">
        <f>T6</f>
        <v>MARIE    univ-ENSAIA-lorraine.fr</v>
      </c>
      <c r="L6" s="47"/>
      <c r="M6" s="47"/>
      <c r="N6" s="47"/>
      <c r="O6" s="47"/>
      <c r="P6" s="47"/>
      <c r="Q6" s="2455"/>
      <c r="S6" s="340" t="s">
        <v>72</v>
      </c>
      <c r="T6" s="2456" t="s">
        <v>380</v>
      </c>
      <c r="U6" s="2456"/>
      <c r="V6" s="2456"/>
      <c r="W6" s="2457"/>
      <c r="X6" s="2458" t="s">
        <v>736</v>
      </c>
      <c r="Y6" s="2459"/>
      <c r="Z6" s="2459"/>
      <c r="AA6" s="2459"/>
      <c r="AB6" s="2459"/>
      <c r="AC6" s="2459"/>
      <c r="AD6" s="2459"/>
      <c r="AE6" s="2460"/>
      <c r="AG6" s="2461" t="s">
        <v>736</v>
      </c>
      <c r="AH6" s="2462"/>
      <c r="AI6" s="2462"/>
      <c r="AJ6" s="2462"/>
      <c r="AK6" s="2462"/>
      <c r="AL6" s="2462"/>
      <c r="AM6" s="2462"/>
      <c r="AN6" s="2462"/>
      <c r="AO6" s="2462"/>
      <c r="AP6" s="2462"/>
      <c r="AQ6" s="2462"/>
      <c r="AR6" s="2462"/>
      <c r="AS6" s="2462"/>
      <c r="AT6" s="2462"/>
      <c r="AU6" s="2462"/>
    </row>
    <row r="7" spans="1:79" ht="18" customHeight="1" thickBot="1">
      <c r="A7" s="2453"/>
      <c r="B7" s="45" t="str">
        <f>S7</f>
        <v>❸ Constituant de quelle recette ?</v>
      </c>
      <c r="C7" s="46"/>
      <c r="D7" s="46"/>
      <c r="E7" s="46" t="str">
        <f>V7</f>
        <v>? une pâtisserie est souvent composée de recettes filles  attachées à une recette Mère</v>
      </c>
      <c r="F7" s="44"/>
      <c r="G7" s="54"/>
      <c r="H7" s="54"/>
      <c r="I7" s="2454"/>
      <c r="J7" s="44" t="str">
        <f>S7</f>
        <v>❸ Constituant de quelle recette ?</v>
      </c>
      <c r="K7" s="44"/>
      <c r="L7" s="44"/>
      <c r="M7" s="44"/>
      <c r="N7" s="44"/>
      <c r="O7" s="2463" t="str">
        <f>V7</f>
        <v>? une pâtisserie est souvent composée de recettes filles  attachées à une recette Mère</v>
      </c>
      <c r="P7" s="2463"/>
      <c r="Q7" s="2455"/>
      <c r="S7" s="341" t="s">
        <v>71</v>
      </c>
      <c r="T7" s="342"/>
      <c r="U7" s="342"/>
      <c r="V7" s="2464" t="s">
        <v>684</v>
      </c>
      <c r="W7" s="2465"/>
      <c r="X7" s="2458"/>
      <c r="Y7" s="2459"/>
      <c r="Z7" s="2459"/>
      <c r="AA7" s="2459"/>
      <c r="AB7" s="2459"/>
      <c r="AC7" s="2459"/>
      <c r="AD7" s="2459"/>
      <c r="AE7" s="2460"/>
      <c r="AG7" s="2461"/>
      <c r="AH7" s="2462"/>
      <c r="AI7" s="2462"/>
      <c r="AJ7" s="2462"/>
      <c r="AK7" s="2462"/>
      <c r="AL7" s="2462"/>
      <c r="AM7" s="2462"/>
      <c r="AN7" s="2462"/>
      <c r="AO7" s="2462"/>
      <c r="AP7" s="2462"/>
      <c r="AQ7" s="2462"/>
      <c r="AR7" s="2462"/>
      <c r="AS7" s="2462"/>
      <c r="AT7" s="2462"/>
      <c r="AU7" s="2462"/>
    </row>
    <row r="8" spans="1:79" ht="18" customHeight="1">
      <c r="A8" s="2453"/>
      <c r="B8" s="2546" t="s">
        <v>1566</v>
      </c>
      <c r="C8" s="2547"/>
      <c r="D8" s="2548">
        <v>2</v>
      </c>
      <c r="E8" s="641"/>
      <c r="F8" s="54"/>
      <c r="G8" s="54"/>
      <c r="H8" s="655"/>
      <c r="I8" s="2454"/>
      <c r="J8" s="2513">
        <v>0.125</v>
      </c>
      <c r="K8" s="2393" t="s">
        <v>1707</v>
      </c>
      <c r="L8" s="2393"/>
      <c r="M8" s="1344"/>
      <c r="N8" s="1344"/>
      <c r="O8" s="2443" t="str">
        <f>IF(D10=1,"avec le poids BRUT de la recette vous pourriez faire : Nb de portions &gt;","avec le poids NET de la recette vous pourriez faire : Nb de portions &gt;")</f>
        <v>avec le poids BRUT de la recette vous pourriez faire : Nb de portions &gt;</v>
      </c>
      <c r="P8" s="2445">
        <f>IF(F11&gt;0,(F11/J8),(D11/J8))</f>
        <v>184.30000000000013</v>
      </c>
      <c r="Q8" s="2455"/>
      <c r="S8" s="43"/>
      <c r="T8" s="42"/>
      <c r="U8" s="42"/>
      <c r="V8" s="1335"/>
      <c r="W8" s="1055"/>
      <c r="X8" s="2447" t="s">
        <v>574</v>
      </c>
      <c r="Y8" s="2447"/>
      <c r="Z8" s="2448"/>
      <c r="AA8" s="2426" t="s">
        <v>817</v>
      </c>
      <c r="AB8" s="2427" t="str">
        <f>IF(AB11&gt;0,"vous avez saisi un % de perte pour TOUTE LA RECETTE colonne Z",IF(AB43&gt;0,"Vous avez saisi des pourcentages de PERTES par produit colonne Z","Vous pouvez saisir un % de perte pour chaque PRODUIT ou pour la recette colonne Z"))</f>
        <v>Vous pouvez saisir un % de perte pour chaque PRODUIT ou pour la recette colonne Z</v>
      </c>
      <c r="AC8" s="2427"/>
      <c r="AD8" s="2427"/>
      <c r="AE8" s="2428"/>
      <c r="AG8" s="1334"/>
      <c r="AH8" s="1330"/>
      <c r="AI8" s="1330"/>
      <c r="AJ8" s="346"/>
      <c r="AK8" s="346"/>
      <c r="AL8" s="346"/>
      <c r="AM8" s="346"/>
      <c r="AN8" s="346"/>
      <c r="AO8" s="346"/>
      <c r="AP8" s="346"/>
      <c r="AQ8" s="600"/>
      <c r="AR8" s="600"/>
      <c r="AS8" s="600"/>
      <c r="AT8" s="600"/>
      <c r="AU8" s="600"/>
    </row>
    <row r="9" spans="1:79" ht="18" customHeight="1" thickBot="1">
      <c r="A9" s="2453"/>
      <c r="B9" s="1448">
        <f>D8*1000</f>
        <v>2000</v>
      </c>
      <c r="C9" s="1449" t="s">
        <v>1600</v>
      </c>
      <c r="D9" s="2549"/>
      <c r="E9" s="2521"/>
      <c r="F9" s="2521"/>
      <c r="G9" s="726" t="str">
        <f>IF(D10=1,"",IF(AB11&gt;0,AB11,""))</f>
        <v/>
      </c>
      <c r="H9" s="655"/>
      <c r="I9" s="2454"/>
      <c r="J9" s="2514"/>
      <c r="K9" s="2394"/>
      <c r="L9" s="2394"/>
      <c r="M9" s="1331"/>
      <c r="N9" s="1331"/>
      <c r="O9" s="2444"/>
      <c r="P9" s="2446"/>
      <c r="Q9" s="2455"/>
      <c r="S9" s="1105" t="s">
        <v>106</v>
      </c>
      <c r="T9" s="608" t="str">
        <f>AB8</f>
        <v>Vous pouvez saisir un % de perte pour chaque PRODUIT ou pour la recette colonne Z</v>
      </c>
      <c r="U9" s="42"/>
      <c r="V9" s="1335"/>
      <c r="W9" s="1055"/>
      <c r="X9" s="2447"/>
      <c r="Y9" s="2447"/>
      <c r="Z9" s="2448"/>
      <c r="AA9" s="2426"/>
      <c r="AB9" s="2427"/>
      <c r="AC9" s="2427"/>
      <c r="AD9" s="2427"/>
      <c r="AE9" s="2428"/>
      <c r="AG9" s="2468" t="s">
        <v>732</v>
      </c>
      <c r="AH9" s="2469"/>
      <c r="AI9" s="2470"/>
      <c r="AJ9" s="2469" t="s">
        <v>697</v>
      </c>
      <c r="AK9" s="2469"/>
      <c r="AL9" s="2469"/>
      <c r="AM9" s="2470"/>
      <c r="AN9" s="2468" t="s">
        <v>698</v>
      </c>
      <c r="AO9" s="2469"/>
      <c r="AP9" s="2469"/>
      <c r="AQ9" s="2470"/>
      <c r="AR9" s="2468" t="s">
        <v>586</v>
      </c>
      <c r="AS9" s="2469"/>
      <c r="AT9" s="2469"/>
      <c r="AU9" s="2469"/>
    </row>
    <row r="10" spans="1:79" ht="18" customHeight="1">
      <c r="A10" s="2453"/>
      <c r="B10" s="613"/>
      <c r="C10" s="614" t="s">
        <v>1567</v>
      </c>
      <c r="D10" s="612">
        <v>1</v>
      </c>
      <c r="E10" s="642" t="str">
        <f>IF(D10=1,AG9,IF(D10=2,AJ9,IF(D10=3,AN9,IF(D10&gt;3,"LE N° DE CHOIX S'ARRETE AU N° 3"))))</f>
        <v xml:space="preserve">1 = RECETTE DE L'AUTEUR AVEC VOTRE POIDS DEMANDÉ </v>
      </c>
      <c r="F10" s="643"/>
      <c r="G10" s="643"/>
      <c r="H10" s="655"/>
      <c r="I10" s="2454"/>
      <c r="J10" s="1345">
        <v>4</v>
      </c>
      <c r="K10" s="1346" t="s">
        <v>1697</v>
      </c>
      <c r="L10" s="1347"/>
      <c r="M10" s="1347"/>
      <c r="N10" s="1347"/>
      <c r="O10" s="1348"/>
      <c r="P10" s="2517">
        <f>(J11*J10)</f>
        <v>0.5</v>
      </c>
      <c r="Q10" s="2455"/>
      <c r="S10" s="38"/>
      <c r="T10" s="36" t="s">
        <v>1</v>
      </c>
      <c r="U10" s="37">
        <v>180</v>
      </c>
      <c r="V10" s="36" t="s">
        <v>0</v>
      </c>
      <c r="W10" s="1106">
        <v>60</v>
      </c>
      <c r="X10" s="2447"/>
      <c r="Y10" s="2447"/>
      <c r="Z10" s="2448"/>
      <c r="AA10" s="2426"/>
      <c r="AB10" s="2427"/>
      <c r="AC10" s="2427"/>
      <c r="AD10" s="2427"/>
      <c r="AE10" s="2428"/>
      <c r="AG10" s="2468"/>
      <c r="AH10" s="2469"/>
      <c r="AI10" s="2470"/>
      <c r="AJ10" s="2468"/>
      <c r="AK10" s="2469"/>
      <c r="AL10" s="2469"/>
      <c r="AM10" s="2470"/>
      <c r="AN10" s="2468"/>
      <c r="AO10" s="2469"/>
      <c r="AP10" s="2469"/>
      <c r="AQ10" s="2470"/>
      <c r="AR10" s="2468"/>
      <c r="AS10" s="2469"/>
      <c r="AT10" s="2469"/>
      <c r="AU10" s="2469"/>
    </row>
    <row r="11" spans="1:79" ht="30" customHeight="1">
      <c r="A11" s="2453"/>
      <c r="B11" s="639"/>
      <c r="C11" s="639" t="str">
        <f>IF(D10=1,"CHOIX N° 1",IF(D10=2,"CHOIX N° 2",IF(D10=3,"CHOIX N° 3","QUEL CHOIX?")))</f>
        <v>CHOIX N° 1</v>
      </c>
      <c r="D11" s="1295">
        <f>D44</f>
        <v>23.037500000000016</v>
      </c>
      <c r="E11" s="2383" t="s">
        <v>52</v>
      </c>
      <c r="F11" s="1295">
        <f>F44</f>
        <v>0</v>
      </c>
      <c r="G11" s="611" t="s">
        <v>1568</v>
      </c>
      <c r="I11" s="2454"/>
      <c r="J11" s="1304">
        <v>0.125</v>
      </c>
      <c r="K11" s="1080" t="s">
        <v>1695</v>
      </c>
      <c r="L11" s="1081"/>
      <c r="M11" s="1081"/>
      <c r="N11" s="1081"/>
      <c r="O11" s="1121" t="s">
        <v>1599</v>
      </c>
      <c r="P11" s="2518"/>
      <c r="Q11" s="2455"/>
      <c r="S11" s="1308" t="s">
        <v>1696</v>
      </c>
      <c r="T11" s="1309"/>
      <c r="U11" s="1309"/>
      <c r="V11" s="1075" t="s">
        <v>67</v>
      </c>
      <c r="W11" s="1288">
        <f>W43</f>
        <v>2.3299999999999996</v>
      </c>
      <c r="X11" s="2519">
        <v>1</v>
      </c>
      <c r="Y11" s="2519"/>
      <c r="Z11" s="2520"/>
      <c r="AA11" s="2426"/>
      <c r="AB11" s="629"/>
      <c r="AC11" s="1349" t="s">
        <v>1575</v>
      </c>
      <c r="AD11" s="1350"/>
      <c r="AE11" s="1351"/>
      <c r="AG11" s="601"/>
      <c r="AH11" s="603" t="s">
        <v>578</v>
      </c>
      <c r="AI11" s="1294">
        <f>D8</f>
        <v>2</v>
      </c>
      <c r="AJ11" s="601"/>
      <c r="AK11" s="602"/>
      <c r="AL11" s="603" t="s">
        <v>578</v>
      </c>
      <c r="AM11" s="1294">
        <f>D8</f>
        <v>2</v>
      </c>
      <c r="AN11" s="617"/>
      <c r="AO11" s="603"/>
      <c r="AP11" s="603" t="s">
        <v>582</v>
      </c>
      <c r="AQ11" s="1303">
        <f>D8</f>
        <v>2</v>
      </c>
      <c r="AR11" s="602"/>
      <c r="AS11" s="593">
        <f>SUM(AS13:AS42)</f>
        <v>0</v>
      </c>
      <c r="AT11" s="615"/>
      <c r="AU11" s="616"/>
    </row>
    <row r="12" spans="1:79" ht="36.75" customHeight="1">
      <c r="A12" s="2453"/>
      <c r="B12" s="1442" t="s">
        <v>61</v>
      </c>
      <c r="C12" s="1443" t="s">
        <v>60</v>
      </c>
      <c r="D12" s="1443" t="s">
        <v>577</v>
      </c>
      <c r="E12" s="2383"/>
      <c r="F12" s="638" t="s">
        <v>576</v>
      </c>
      <c r="G12" s="1286" t="s">
        <v>65</v>
      </c>
      <c r="H12" s="1352" t="s">
        <v>64</v>
      </c>
      <c r="I12" s="2454"/>
      <c r="J12" s="1353"/>
      <c r="K12" s="1354" t="s">
        <v>1</v>
      </c>
      <c r="L12" s="1355">
        <f>U10</f>
        <v>180</v>
      </c>
      <c r="M12" s="1355"/>
      <c r="N12" s="1355"/>
      <c r="O12" s="1356" t="s">
        <v>0</v>
      </c>
      <c r="P12" s="1355">
        <f>W10</f>
        <v>60</v>
      </c>
      <c r="Q12" s="2455"/>
      <c r="R12" s="1357" t="s">
        <v>1487</v>
      </c>
      <c r="S12" s="1358" t="s">
        <v>61</v>
      </c>
      <c r="T12" s="1359" t="s">
        <v>60</v>
      </c>
      <c r="U12" s="1360" t="s">
        <v>63</v>
      </c>
      <c r="V12" s="1361" t="s">
        <v>62</v>
      </c>
      <c r="W12" s="625"/>
      <c r="X12" s="622" t="s">
        <v>490</v>
      </c>
      <c r="Y12" s="622" t="s">
        <v>61</v>
      </c>
      <c r="Z12" s="620" t="s">
        <v>60</v>
      </c>
      <c r="AA12" s="1060"/>
      <c r="AB12" s="718" t="s">
        <v>1565</v>
      </c>
      <c r="AC12" s="718" t="s">
        <v>702</v>
      </c>
      <c r="AD12" s="622" t="s">
        <v>703</v>
      </c>
      <c r="AE12" s="620" t="s">
        <v>474</v>
      </c>
      <c r="AF12" s="1357" t="s">
        <v>1487</v>
      </c>
      <c r="AG12" s="619" t="s">
        <v>577</v>
      </c>
      <c r="AH12" s="622" t="s">
        <v>61</v>
      </c>
      <c r="AI12" s="622" t="s">
        <v>60</v>
      </c>
      <c r="AJ12" s="619" t="s">
        <v>576</v>
      </c>
      <c r="AK12" s="645" t="s">
        <v>577</v>
      </c>
      <c r="AL12" s="622" t="s">
        <v>61</v>
      </c>
      <c r="AM12" s="620" t="s">
        <v>60</v>
      </c>
      <c r="AN12" s="645" t="s">
        <v>576</v>
      </c>
      <c r="AO12" s="622" t="s">
        <v>577</v>
      </c>
      <c r="AP12" s="622" t="s">
        <v>61</v>
      </c>
      <c r="AQ12" s="620" t="s">
        <v>60</v>
      </c>
      <c r="AR12" s="619" t="s">
        <v>576</v>
      </c>
      <c r="AS12" s="622" t="s">
        <v>577</v>
      </c>
      <c r="AT12" s="622" t="s">
        <v>61</v>
      </c>
      <c r="AU12" s="622" t="s">
        <v>60</v>
      </c>
    </row>
    <row r="13" spans="1:79" ht="18.95" customHeight="1">
      <c r="A13" s="2453"/>
      <c r="B13" s="1454">
        <f>S13</f>
        <v>4</v>
      </c>
      <c r="C13" s="1436" t="str">
        <f>IF(D10=1,AI13,IF(D10=2,AM13,IF(D10=3,AQ13,IF(D10=4,AU13))))</f>
        <v>personnes</v>
      </c>
      <c r="D13" s="1902">
        <f>H13</f>
        <v>2.3299999999999996</v>
      </c>
      <c r="E13" s="1455"/>
      <c r="F13" s="22" t="s">
        <v>384</v>
      </c>
      <c r="G13" s="22"/>
      <c r="H13" s="1312">
        <f>W11</f>
        <v>2.3299999999999996</v>
      </c>
      <c r="I13" s="2454"/>
      <c r="J13" s="1280" t="s">
        <v>68</v>
      </c>
      <c r="K13" s="33"/>
      <c r="L13" s="32"/>
      <c r="M13" s="32"/>
      <c r="N13" s="32"/>
      <c r="O13" s="15"/>
      <c r="P13" s="15"/>
      <c r="Q13" s="2455"/>
      <c r="S13" s="1406">
        <v>4</v>
      </c>
      <c r="T13" s="1403" t="s">
        <v>383</v>
      </c>
      <c r="U13" s="1404"/>
      <c r="V13" s="19" t="s">
        <v>384</v>
      </c>
      <c r="W13" s="329"/>
      <c r="X13" s="1289">
        <f>(W13/W11)*X11</f>
        <v>0</v>
      </c>
      <c r="Y13" s="18">
        <f>IF(ISBLANK(S13),"",(S13/W11)*X11)</f>
        <v>1.716738197424893</v>
      </c>
      <c r="Z13" s="594" t="str">
        <f>T13</f>
        <v>personnes</v>
      </c>
      <c r="AA13" s="1365">
        <f>W13/W11</f>
        <v>0</v>
      </c>
      <c r="AB13" s="630"/>
      <c r="AC13" s="624">
        <f>AB11</f>
        <v>0</v>
      </c>
      <c r="AD13" s="624">
        <f>AB13+AC13</f>
        <v>0</v>
      </c>
      <c r="AE13" s="1366">
        <f>1-AD13</f>
        <v>1</v>
      </c>
      <c r="AG13" s="1290">
        <f>((W13/W11)*AI11)</f>
        <v>0</v>
      </c>
      <c r="AH13" s="18">
        <f>IF(ISTEXT(S13),S13,IF(ISBLANK(S13),0,(S13/W11)*AI11))</f>
        <v>3.433476394849786</v>
      </c>
      <c r="AI13" s="17" t="str">
        <f t="shared" ref="AI13:AI42" si="0">T13</f>
        <v>personnes</v>
      </c>
      <c r="AJ13" s="1291">
        <f t="shared" ref="AJ13:AJ42" si="1">AK13*AE13</f>
        <v>0</v>
      </c>
      <c r="AK13" s="1292">
        <f>AM11*AA13</f>
        <v>0</v>
      </c>
      <c r="AL13" s="18">
        <f>IF(ISBLANK(S13),0,(S13/W11)*AM11)</f>
        <v>3.433476394849786</v>
      </c>
      <c r="AM13" s="594" t="str">
        <f t="shared" ref="AM13:AM42" si="2">T13</f>
        <v>personnes</v>
      </c>
      <c r="AN13" s="1292">
        <f>AK13</f>
        <v>0</v>
      </c>
      <c r="AO13" s="1293">
        <f t="shared" ref="AO13:AO42" si="3">(AN13*AD13)+AN13</f>
        <v>0</v>
      </c>
      <c r="AP13" s="18">
        <f>IF(ISBLANK(S13),0,(S13/W43)*AO44)</f>
        <v>3.433476394849786</v>
      </c>
      <c r="AQ13" s="594" t="str">
        <f t="shared" ref="AQ13:AQ42" si="4">T13</f>
        <v>personnes</v>
      </c>
      <c r="AR13" s="649" t="s">
        <v>588</v>
      </c>
      <c r="AS13" s="648" t="s">
        <v>589</v>
      </c>
      <c r="AT13" s="648" t="s">
        <v>587</v>
      </c>
      <c r="AU13" s="648">
        <v>3</v>
      </c>
    </row>
    <row r="14" spans="1:79" ht="18.95" customHeight="1">
      <c r="A14" s="2453"/>
      <c r="B14" s="1435"/>
      <c r="C14" s="1436"/>
      <c r="D14" s="1902">
        <f>H13/B13</f>
        <v>0.58249999999999991</v>
      </c>
      <c r="E14" s="1455"/>
      <c r="F14" s="22" t="s">
        <v>387</v>
      </c>
      <c r="G14" s="22"/>
      <c r="H14" s="22"/>
      <c r="I14" s="2454"/>
      <c r="J14" s="9">
        <v>1</v>
      </c>
      <c r="K14" s="15" t="s">
        <v>381</v>
      </c>
      <c r="L14" s="15"/>
      <c r="M14" s="15"/>
      <c r="N14" s="15"/>
      <c r="O14" s="15"/>
      <c r="P14" s="15"/>
      <c r="Q14" s="2455"/>
      <c r="S14" s="1407">
        <f>W11/S13</f>
        <v>0.58249999999999991</v>
      </c>
      <c r="T14" s="1403" t="s">
        <v>386</v>
      </c>
      <c r="U14" s="1405"/>
      <c r="V14" s="19" t="s">
        <v>387</v>
      </c>
      <c r="W14" s="329"/>
      <c r="X14" s="1289">
        <f>(W14/W11)*X11</f>
        <v>0</v>
      </c>
      <c r="Y14" s="18">
        <f>IF(ISBLANK(S14),"",(S14/W11)*X11)</f>
        <v>0.25</v>
      </c>
      <c r="Z14" s="594" t="str">
        <f>T14</f>
        <v>par portion</v>
      </c>
      <c r="AA14" s="1365">
        <f>W14/W11</f>
        <v>0</v>
      </c>
      <c r="AB14" s="630"/>
      <c r="AC14" s="624">
        <f>AB11</f>
        <v>0</v>
      </c>
      <c r="AD14" s="624">
        <f t="shared" ref="AD14:AD42" si="5">AB14+AC14</f>
        <v>0</v>
      </c>
      <c r="AE14" s="1366">
        <f t="shared" ref="AE14:AE42" si="6">1-AD14</f>
        <v>1</v>
      </c>
      <c r="AG14" s="1290">
        <f>((W14/W11)*AI11)</f>
        <v>0</v>
      </c>
      <c r="AH14" s="18">
        <f>IF(ISTEXT(S14),S14,IF(ISBLANK(S14),0,(S14/W11)*AI11))</f>
        <v>0.5</v>
      </c>
      <c r="AI14" s="17" t="str">
        <f t="shared" si="0"/>
        <v>par portion</v>
      </c>
      <c r="AJ14" s="1291">
        <f t="shared" si="1"/>
        <v>0</v>
      </c>
      <c r="AK14" s="1292">
        <f>AM11*AA14</f>
        <v>0</v>
      </c>
      <c r="AL14" s="18">
        <f>IF(ISBLANK(S14),0,(S14/W11)*AM11)</f>
        <v>0.5</v>
      </c>
      <c r="AM14" s="594" t="str">
        <f t="shared" si="2"/>
        <v>par portion</v>
      </c>
      <c r="AN14" s="1292">
        <f>AK14</f>
        <v>0</v>
      </c>
      <c r="AO14" s="1293">
        <f t="shared" si="3"/>
        <v>0</v>
      </c>
      <c r="AP14" s="18">
        <f>IF(ISBLANK(S14),0,(S14/W43)*AO44)</f>
        <v>0.5</v>
      </c>
      <c r="AQ14" s="594" t="str">
        <f t="shared" si="4"/>
        <v>par portion</v>
      </c>
      <c r="AR14" s="649" t="s">
        <v>588</v>
      </c>
      <c r="AS14" s="648" t="s">
        <v>589</v>
      </c>
      <c r="AT14" s="648" t="s">
        <v>587</v>
      </c>
      <c r="AU14" s="648">
        <v>3</v>
      </c>
    </row>
    <row r="15" spans="1:79" ht="18.95" customHeight="1">
      <c r="A15" s="2453"/>
      <c r="B15" s="1435"/>
      <c r="C15" s="1436"/>
      <c r="D15" s="1903">
        <f>IF(D10=1,AG15,IF(D10=2,AK15,IF(D10=3,AO15,IF(D10=4,AS15))))</f>
        <v>0</v>
      </c>
      <c r="E15" s="1455"/>
      <c r="F15" s="22" t="s">
        <v>389</v>
      </c>
      <c r="G15" s="22"/>
      <c r="H15" s="22"/>
      <c r="I15" s="2454"/>
      <c r="J15" s="9">
        <v>2</v>
      </c>
      <c r="K15" s="15" t="s">
        <v>382</v>
      </c>
      <c r="L15" s="15"/>
      <c r="M15" s="15"/>
      <c r="N15" s="15"/>
      <c r="O15" s="15"/>
      <c r="P15" s="15"/>
      <c r="Q15" s="2455"/>
      <c r="S15" s="1406"/>
      <c r="T15" s="1403"/>
      <c r="U15" s="1405"/>
      <c r="V15" s="19" t="s">
        <v>389</v>
      </c>
      <c r="W15" s="329"/>
      <c r="X15" s="1289">
        <f>(W15/W11)*X11</f>
        <v>0</v>
      </c>
      <c r="Y15" s="18" t="str">
        <f>IF(ISBLANK(S15),"",(S15/W11)*X11)</f>
        <v/>
      </c>
      <c r="Z15" s="594">
        <f>T15</f>
        <v>0</v>
      </c>
      <c r="AA15" s="1365">
        <f>W15/W11</f>
        <v>0</v>
      </c>
      <c r="AB15" s="630"/>
      <c r="AC15" s="624">
        <f>AB11</f>
        <v>0</v>
      </c>
      <c r="AD15" s="624">
        <f t="shared" si="5"/>
        <v>0</v>
      </c>
      <c r="AE15" s="1366">
        <f t="shared" si="6"/>
        <v>1</v>
      </c>
      <c r="AG15" s="1290">
        <f>((W15/W11)*AI11)</f>
        <v>0</v>
      </c>
      <c r="AH15" s="18">
        <f>IF(ISTEXT(S15),S15,IF(ISBLANK(S15),0,(S15/W11)*AI11))</f>
        <v>0</v>
      </c>
      <c r="AI15" s="17">
        <f t="shared" si="0"/>
        <v>0</v>
      </c>
      <c r="AJ15" s="1291">
        <f t="shared" si="1"/>
        <v>0</v>
      </c>
      <c r="AK15" s="1292">
        <f>AM11*AA15</f>
        <v>0</v>
      </c>
      <c r="AL15" s="18">
        <f>IF(ISBLANK(S15),0,(S15/W11)*AM11)</f>
        <v>0</v>
      </c>
      <c r="AM15" s="594">
        <f t="shared" si="2"/>
        <v>0</v>
      </c>
      <c r="AN15" s="1292">
        <f t="shared" ref="AN15:AN42" si="7">AK15</f>
        <v>0</v>
      </c>
      <c r="AO15" s="1293">
        <f t="shared" si="3"/>
        <v>0</v>
      </c>
      <c r="AP15" s="18">
        <f>IF(ISBLANK(S15),0,(S15/W43)*AO44)</f>
        <v>0</v>
      </c>
      <c r="AQ15" s="594">
        <f t="shared" si="4"/>
        <v>0</v>
      </c>
      <c r="AR15" s="649" t="s">
        <v>588</v>
      </c>
      <c r="AS15" s="648" t="s">
        <v>589</v>
      </c>
      <c r="AT15" s="648" t="s">
        <v>587</v>
      </c>
      <c r="AU15" s="648">
        <v>3</v>
      </c>
    </row>
    <row r="16" spans="1:79" ht="18.95" customHeight="1">
      <c r="A16" s="2453"/>
      <c r="B16" s="1435"/>
      <c r="C16" s="1456"/>
      <c r="D16" s="1904"/>
      <c r="E16" s="1455"/>
      <c r="F16" s="335"/>
      <c r="G16" s="335"/>
      <c r="H16" s="22"/>
      <c r="I16" s="2454"/>
      <c r="J16" s="9">
        <v>3</v>
      </c>
      <c r="K16" s="15" t="s">
        <v>385</v>
      </c>
      <c r="L16" s="15"/>
      <c r="M16" s="15"/>
      <c r="N16" s="15"/>
      <c r="O16" s="15"/>
      <c r="P16" s="15"/>
      <c r="Q16" s="2455"/>
      <c r="S16" s="1406"/>
      <c r="T16" s="1403"/>
      <c r="U16" s="1405"/>
      <c r="V16" s="19"/>
      <c r="W16" s="329"/>
      <c r="X16" s="1289">
        <f>(W16/W11)*X11</f>
        <v>0</v>
      </c>
      <c r="Y16" s="18" t="str">
        <f>IF(ISBLANK(S16),"",(S16/W11)*X11)</f>
        <v/>
      </c>
      <c r="Z16" s="594">
        <f t="shared" ref="Z16:Z42" si="8">T16</f>
        <v>0</v>
      </c>
      <c r="AA16" s="1365">
        <f>W16/W11</f>
        <v>0</v>
      </c>
      <c r="AB16" s="630"/>
      <c r="AC16" s="624">
        <f>AB11</f>
        <v>0</v>
      </c>
      <c r="AD16" s="624">
        <f t="shared" si="5"/>
        <v>0</v>
      </c>
      <c r="AE16" s="1366">
        <f t="shared" si="6"/>
        <v>1</v>
      </c>
      <c r="AG16" s="1290">
        <f>((W16/W11)*AI11)</f>
        <v>0</v>
      </c>
      <c r="AH16" s="18">
        <f>IF(ISTEXT(S16),S16,IF(ISBLANK(S16),0,(S16/W11)*AI11))</f>
        <v>0</v>
      </c>
      <c r="AI16" s="17">
        <f t="shared" si="0"/>
        <v>0</v>
      </c>
      <c r="AJ16" s="1291">
        <f t="shared" si="1"/>
        <v>0</v>
      </c>
      <c r="AK16" s="1292">
        <f>AM11*AA16</f>
        <v>0</v>
      </c>
      <c r="AL16" s="18">
        <f>IF(ISBLANK(S16),0,(S16/W11)*AM11)</f>
        <v>0</v>
      </c>
      <c r="AM16" s="594">
        <f t="shared" si="2"/>
        <v>0</v>
      </c>
      <c r="AN16" s="1292">
        <f t="shared" si="7"/>
        <v>0</v>
      </c>
      <c r="AO16" s="1293">
        <f t="shared" si="3"/>
        <v>0</v>
      </c>
      <c r="AP16" s="18">
        <f>IF(ISBLANK(S16),0,(S16/W43)*AO44)</f>
        <v>0</v>
      </c>
      <c r="AQ16" s="594">
        <f t="shared" si="4"/>
        <v>0</v>
      </c>
      <c r="AR16" s="649" t="s">
        <v>588</v>
      </c>
      <c r="AS16" s="648" t="s">
        <v>589</v>
      </c>
      <c r="AT16" s="648" t="s">
        <v>587</v>
      </c>
      <c r="AU16" s="648">
        <v>3</v>
      </c>
    </row>
    <row r="17" spans="1:47" ht="18.95" customHeight="1">
      <c r="A17" s="2453"/>
      <c r="B17" s="1435">
        <f>IF(ISTEXT(O17),O17,IF(ISBLANK(O17),0,(O17/S12)*F12))</f>
        <v>0</v>
      </c>
      <c r="C17" s="1456">
        <f t="shared" ref="C17" si="9">P17</f>
        <v>0</v>
      </c>
      <c r="D17" s="1904"/>
      <c r="E17" s="1455"/>
      <c r="F17" s="335" t="s">
        <v>391</v>
      </c>
      <c r="G17" s="335"/>
      <c r="H17" s="22"/>
      <c r="I17" s="2454"/>
      <c r="J17" s="9"/>
      <c r="K17" s="15" t="s">
        <v>388</v>
      </c>
      <c r="L17" s="15"/>
      <c r="M17" s="15"/>
      <c r="N17" s="15"/>
      <c r="O17" s="15"/>
      <c r="P17" s="15"/>
      <c r="Q17" s="2455"/>
      <c r="S17" s="1406"/>
      <c r="T17" s="1403"/>
      <c r="U17" s="1402">
        <v>0.125</v>
      </c>
      <c r="V17" s="19" t="s">
        <v>393</v>
      </c>
      <c r="W17" s="329"/>
      <c r="X17" s="1289">
        <f>(W17/W11)*X11</f>
        <v>0</v>
      </c>
      <c r="Y17" s="18" t="str">
        <f>IF(ISBLANK(S17),"",(S17/W11)*X11)</f>
        <v/>
      </c>
      <c r="Z17" s="594">
        <f t="shared" si="8"/>
        <v>0</v>
      </c>
      <c r="AA17" s="1365">
        <f>W17/W11</f>
        <v>0</v>
      </c>
      <c r="AB17" s="630"/>
      <c r="AC17" s="624">
        <f>AB11</f>
        <v>0</v>
      </c>
      <c r="AD17" s="624">
        <f t="shared" si="5"/>
        <v>0</v>
      </c>
      <c r="AE17" s="1366">
        <f t="shared" si="6"/>
        <v>1</v>
      </c>
      <c r="AG17" s="1290">
        <f>((W17/W11)*AI11)</f>
        <v>0</v>
      </c>
      <c r="AH17" s="18">
        <f>IF(ISTEXT(S17),S17,IF(ISBLANK(S17),0,(S17/W11)*AI11))</f>
        <v>0</v>
      </c>
      <c r="AI17" s="17">
        <f t="shared" si="0"/>
        <v>0</v>
      </c>
      <c r="AJ17" s="1291">
        <f t="shared" si="1"/>
        <v>0</v>
      </c>
      <c r="AK17" s="1292">
        <f>AM11*AA17</f>
        <v>0</v>
      </c>
      <c r="AL17" s="18">
        <f>IF(ISBLANK(S17),0,(S17/W11)*AM11)</f>
        <v>0</v>
      </c>
      <c r="AM17" s="594">
        <f t="shared" si="2"/>
        <v>0</v>
      </c>
      <c r="AN17" s="1292">
        <f t="shared" si="7"/>
        <v>0</v>
      </c>
      <c r="AO17" s="1293">
        <f t="shared" si="3"/>
        <v>0</v>
      </c>
      <c r="AP17" s="18">
        <f>IF(ISBLANK(S17),0,(S17/W43)*AO44)</f>
        <v>0</v>
      </c>
      <c r="AQ17" s="594">
        <f t="shared" si="4"/>
        <v>0</v>
      </c>
      <c r="AR17" s="649" t="s">
        <v>588</v>
      </c>
      <c r="AS17" s="648" t="s">
        <v>589</v>
      </c>
      <c r="AT17" s="648" t="s">
        <v>587</v>
      </c>
      <c r="AU17" s="648">
        <v>3</v>
      </c>
    </row>
    <row r="18" spans="1:47" ht="18.95" customHeight="1">
      <c r="A18" s="2453"/>
      <c r="B18" s="1457">
        <v>1</v>
      </c>
      <c r="C18" s="1458" t="s">
        <v>394</v>
      </c>
      <c r="D18" s="1905">
        <v>0.125</v>
      </c>
      <c r="E18" s="1455"/>
      <c r="F18" s="336" t="s">
        <v>393</v>
      </c>
      <c r="G18" s="336"/>
      <c r="H18" s="22"/>
      <c r="I18" s="2454"/>
      <c r="J18" s="9">
        <v>4</v>
      </c>
      <c r="K18" s="15" t="s">
        <v>390</v>
      </c>
      <c r="L18" s="15"/>
      <c r="M18" s="15"/>
      <c r="N18" s="15"/>
      <c r="O18" s="15"/>
      <c r="P18" s="15"/>
      <c r="Q18" s="2455"/>
      <c r="S18" s="1406"/>
      <c r="T18" s="1403"/>
      <c r="U18" s="1405"/>
      <c r="V18" s="19"/>
      <c r="W18" s="329"/>
      <c r="X18" s="1289">
        <f>(W18/W11)*X11</f>
        <v>0</v>
      </c>
      <c r="Y18" s="18" t="str">
        <f>IF(ISBLANK(S18),"",(S18/W11)*X11)</f>
        <v/>
      </c>
      <c r="Z18" s="594">
        <f t="shared" si="8"/>
        <v>0</v>
      </c>
      <c r="AA18" s="1365">
        <f>W18/W11</f>
        <v>0</v>
      </c>
      <c r="AB18" s="630"/>
      <c r="AC18" s="624">
        <f>AB11</f>
        <v>0</v>
      </c>
      <c r="AD18" s="624">
        <f t="shared" si="5"/>
        <v>0</v>
      </c>
      <c r="AE18" s="1366">
        <f t="shared" si="6"/>
        <v>1</v>
      </c>
      <c r="AG18" s="1290">
        <f>((W18/W11)*AI11)</f>
        <v>0</v>
      </c>
      <c r="AH18" s="18">
        <f>IF(ISTEXT(S18),S18,IF(ISBLANK(S18),0,(S18/W11)*AI11))</f>
        <v>0</v>
      </c>
      <c r="AI18" s="17">
        <f t="shared" si="0"/>
        <v>0</v>
      </c>
      <c r="AJ18" s="1291">
        <f t="shared" si="1"/>
        <v>0</v>
      </c>
      <c r="AK18" s="1292">
        <f>AM11*AA18</f>
        <v>0</v>
      </c>
      <c r="AL18" s="18">
        <f>IF(ISBLANK(S18),0,(S18/W11)*AM11)</f>
        <v>0</v>
      </c>
      <c r="AM18" s="594">
        <f t="shared" si="2"/>
        <v>0</v>
      </c>
      <c r="AN18" s="1292">
        <f t="shared" si="7"/>
        <v>0</v>
      </c>
      <c r="AO18" s="1293">
        <f t="shared" si="3"/>
        <v>0</v>
      </c>
      <c r="AP18" s="18">
        <f>IF(ISBLANK(S18),0,(S18/W43)*AO44)</f>
        <v>0</v>
      </c>
      <c r="AQ18" s="594">
        <f t="shared" si="4"/>
        <v>0</v>
      </c>
      <c r="AR18" s="649" t="s">
        <v>588</v>
      </c>
      <c r="AS18" s="648" t="s">
        <v>589</v>
      </c>
      <c r="AT18" s="648" t="s">
        <v>587</v>
      </c>
      <c r="AU18" s="648">
        <v>3</v>
      </c>
    </row>
    <row r="19" spans="1:47" ht="18.95" customHeight="1">
      <c r="A19" s="2453"/>
      <c r="B19" s="1435"/>
      <c r="C19" s="1459" t="s">
        <v>396</v>
      </c>
      <c r="D19" s="1902">
        <f>D8</f>
        <v>2</v>
      </c>
      <c r="E19" s="1455"/>
      <c r="F19" s="330" t="s">
        <v>397</v>
      </c>
      <c r="G19" s="330"/>
      <c r="H19" s="22"/>
      <c r="I19" s="2454"/>
      <c r="J19" s="9"/>
      <c r="K19" s="15" t="s">
        <v>392</v>
      </c>
      <c r="L19" s="15"/>
      <c r="M19" s="15"/>
      <c r="N19" s="15"/>
      <c r="O19" s="15"/>
      <c r="P19" s="15"/>
      <c r="Q19" s="2455"/>
      <c r="S19" s="1362"/>
      <c r="T19" s="1363"/>
      <c r="U19" s="1364"/>
      <c r="V19" s="19"/>
      <c r="W19" s="1279">
        <f t="shared" ref="W19:W42" si="10">IF(ISBLANK(S19),U19,(U19*S19))</f>
        <v>0</v>
      </c>
      <c r="X19" s="1289">
        <f>(W19/W11)*X11</f>
        <v>0</v>
      </c>
      <c r="Y19" s="18" t="str">
        <f>IF(ISBLANK(S19),"",(S19/W11)*X11)</f>
        <v/>
      </c>
      <c r="Z19" s="594">
        <f t="shared" si="8"/>
        <v>0</v>
      </c>
      <c r="AA19" s="1365">
        <f>W19/W11</f>
        <v>0</v>
      </c>
      <c r="AB19" s="630"/>
      <c r="AC19" s="624">
        <f>AB11</f>
        <v>0</v>
      </c>
      <c r="AD19" s="624">
        <f t="shared" si="5"/>
        <v>0</v>
      </c>
      <c r="AE19" s="1366">
        <f t="shared" si="6"/>
        <v>1</v>
      </c>
      <c r="AG19" s="1290">
        <f>((W19/W11)*AI11)</f>
        <v>0</v>
      </c>
      <c r="AH19" s="18">
        <f>IF(ISTEXT(S19),S19,IF(ISBLANK(S19),0,(S19/W11)*AI11))</f>
        <v>0</v>
      </c>
      <c r="AI19" s="17">
        <f t="shared" si="0"/>
        <v>0</v>
      </c>
      <c r="AJ19" s="1291">
        <f t="shared" si="1"/>
        <v>0</v>
      </c>
      <c r="AK19" s="1292">
        <f>AM11*AA19</f>
        <v>0</v>
      </c>
      <c r="AL19" s="18">
        <f>IF(ISBLANK(S19),0,(S19/W11)*AM11)</f>
        <v>0</v>
      </c>
      <c r="AM19" s="594">
        <f t="shared" si="2"/>
        <v>0</v>
      </c>
      <c r="AN19" s="1292">
        <f t="shared" si="7"/>
        <v>0</v>
      </c>
      <c r="AO19" s="1293">
        <f t="shared" si="3"/>
        <v>0</v>
      </c>
      <c r="AP19" s="18">
        <f>IF(ISBLANK(S19),0,(S19/W43)*AO44)</f>
        <v>0</v>
      </c>
      <c r="AQ19" s="594">
        <f t="shared" si="4"/>
        <v>0</v>
      </c>
      <c r="AR19" s="649" t="s">
        <v>588</v>
      </c>
      <c r="AS19" s="648" t="s">
        <v>589</v>
      </c>
      <c r="AT19" s="648" t="s">
        <v>587</v>
      </c>
      <c r="AU19" s="648">
        <v>3</v>
      </c>
    </row>
    <row r="20" spans="1:47" ht="18.95" customHeight="1">
      <c r="A20" s="2453"/>
      <c r="B20" s="1460"/>
      <c r="C20" s="1461"/>
      <c r="D20" s="1906">
        <f>D19/D18</f>
        <v>16</v>
      </c>
      <c r="E20" s="1455"/>
      <c r="F20" s="330" t="s">
        <v>399</v>
      </c>
      <c r="G20" s="330"/>
      <c r="H20" s="22"/>
      <c r="I20" s="2454"/>
      <c r="J20" s="9">
        <v>5</v>
      </c>
      <c r="K20" s="15" t="s">
        <v>395</v>
      </c>
      <c r="L20" s="15"/>
      <c r="M20" s="15"/>
      <c r="N20" s="15"/>
      <c r="O20" s="15"/>
      <c r="P20" s="15"/>
      <c r="Q20" s="2455"/>
      <c r="S20" s="1362"/>
      <c r="T20" s="1363"/>
      <c r="U20" s="1364"/>
      <c r="V20" s="19"/>
      <c r="W20" s="1279">
        <f t="shared" si="10"/>
        <v>0</v>
      </c>
      <c r="X20" s="1289">
        <f>(W20/W11)*X11</f>
        <v>0</v>
      </c>
      <c r="Y20" s="18" t="str">
        <f>IF(ISBLANK(S20),"",(S20/W11)*X11)</f>
        <v/>
      </c>
      <c r="Z20" s="594">
        <f t="shared" si="8"/>
        <v>0</v>
      </c>
      <c r="AA20" s="1365">
        <f>W20/W11</f>
        <v>0</v>
      </c>
      <c r="AB20" s="630"/>
      <c r="AC20" s="624">
        <f>AB11</f>
        <v>0</v>
      </c>
      <c r="AD20" s="624">
        <f t="shared" si="5"/>
        <v>0</v>
      </c>
      <c r="AE20" s="1366">
        <f t="shared" si="6"/>
        <v>1</v>
      </c>
      <c r="AG20" s="1290">
        <f>((W20/W11)*AI11)</f>
        <v>0</v>
      </c>
      <c r="AH20" s="18">
        <f>IF(ISTEXT(S20),S20,IF(ISBLANK(S20),0,(S20/W11)*AI11))</f>
        <v>0</v>
      </c>
      <c r="AI20" s="17">
        <f t="shared" si="0"/>
        <v>0</v>
      </c>
      <c r="AJ20" s="1291">
        <f t="shared" si="1"/>
        <v>0</v>
      </c>
      <c r="AK20" s="1292">
        <f>AM11*AA20</f>
        <v>0</v>
      </c>
      <c r="AL20" s="18">
        <f>IF(ISBLANK(S20),0,(S20/W11)*AM11)</f>
        <v>0</v>
      </c>
      <c r="AM20" s="594">
        <f t="shared" si="2"/>
        <v>0</v>
      </c>
      <c r="AN20" s="1292">
        <f t="shared" si="7"/>
        <v>0</v>
      </c>
      <c r="AO20" s="1293">
        <f t="shared" si="3"/>
        <v>0</v>
      </c>
      <c r="AP20" s="18">
        <f>IF(ISBLANK(S20),0,(S20/W43)*AO44)</f>
        <v>0</v>
      </c>
      <c r="AQ20" s="594">
        <f t="shared" si="4"/>
        <v>0</v>
      </c>
      <c r="AR20" s="649" t="s">
        <v>588</v>
      </c>
      <c r="AS20" s="648" t="s">
        <v>589</v>
      </c>
      <c r="AT20" s="648" t="s">
        <v>587</v>
      </c>
      <c r="AU20" s="648">
        <v>3</v>
      </c>
    </row>
    <row r="21" spans="1:47" ht="18.95" customHeight="1">
      <c r="A21" s="2453"/>
      <c r="B21" s="2550" t="s">
        <v>401</v>
      </c>
      <c r="C21" s="2551"/>
      <c r="D21" s="1443" t="s">
        <v>577</v>
      </c>
      <c r="E21" s="1336" t="s">
        <v>52</v>
      </c>
      <c r="F21" s="1444" t="s">
        <v>576</v>
      </c>
      <c r="G21" s="337" t="s">
        <v>402</v>
      </c>
      <c r="H21" s="333"/>
      <c r="I21" s="2454"/>
      <c r="J21" s="9">
        <v>6</v>
      </c>
      <c r="K21" s="15" t="s">
        <v>398</v>
      </c>
      <c r="L21" s="15"/>
      <c r="M21" s="15"/>
      <c r="N21" s="15"/>
      <c r="O21" s="15"/>
      <c r="P21" s="15"/>
      <c r="Q21" s="2455"/>
      <c r="S21" s="1362"/>
      <c r="T21" s="1363"/>
      <c r="U21" s="1364"/>
      <c r="V21" s="19"/>
      <c r="W21" s="1279">
        <f t="shared" si="10"/>
        <v>0</v>
      </c>
      <c r="X21" s="1289">
        <f>(W21/W11)*X11</f>
        <v>0</v>
      </c>
      <c r="Y21" s="18" t="str">
        <f>IF(ISBLANK(S21),"",(S21/W11)*X11)</f>
        <v/>
      </c>
      <c r="Z21" s="594">
        <f t="shared" si="8"/>
        <v>0</v>
      </c>
      <c r="AA21" s="1365">
        <f>W21/W11</f>
        <v>0</v>
      </c>
      <c r="AB21" s="630"/>
      <c r="AC21" s="624">
        <f>AB11</f>
        <v>0</v>
      </c>
      <c r="AD21" s="624">
        <f t="shared" si="5"/>
        <v>0</v>
      </c>
      <c r="AE21" s="1366">
        <f t="shared" si="6"/>
        <v>1</v>
      </c>
      <c r="AG21" s="1290">
        <f>((W21/W11)*AI11)</f>
        <v>0</v>
      </c>
      <c r="AH21" s="18">
        <f>IF(ISTEXT(S21),S21,IF(ISBLANK(S21),0,(S21/W11)*AI11))</f>
        <v>0</v>
      </c>
      <c r="AI21" s="17">
        <f t="shared" si="0"/>
        <v>0</v>
      </c>
      <c r="AJ21" s="1291">
        <f t="shared" si="1"/>
        <v>0</v>
      </c>
      <c r="AK21" s="1292">
        <f>AM11*AA21</f>
        <v>0</v>
      </c>
      <c r="AL21" s="18">
        <f>IF(ISBLANK(S21),0,(S21/W11)*AM11)</f>
        <v>0</v>
      </c>
      <c r="AM21" s="594">
        <f t="shared" si="2"/>
        <v>0</v>
      </c>
      <c r="AN21" s="1292">
        <f t="shared" si="7"/>
        <v>0</v>
      </c>
      <c r="AO21" s="1293">
        <f t="shared" si="3"/>
        <v>0</v>
      </c>
      <c r="AP21" s="18">
        <f>IF(ISBLANK(S21),0,(S21/W43)*AO44)</f>
        <v>0</v>
      </c>
      <c r="AQ21" s="594">
        <f t="shared" si="4"/>
        <v>0</v>
      </c>
      <c r="AR21" s="649" t="s">
        <v>588</v>
      </c>
      <c r="AS21" s="648" t="s">
        <v>589</v>
      </c>
      <c r="AT21" s="648" t="s">
        <v>587</v>
      </c>
      <c r="AU21" s="648">
        <v>3</v>
      </c>
    </row>
    <row r="22" spans="1:47" ht="18.95" customHeight="1">
      <c r="A22" s="2453"/>
      <c r="B22" s="1462">
        <f>IF(D10=1,AH22,IF(D10=2,AL22,IF(D10=3,AP22,IF(D10=4,AT22))))</f>
        <v>0</v>
      </c>
      <c r="C22" s="1463">
        <f>IF(D10=1,AI22,IF(D10=2,AM22,IF(D10=3,AQ22,IF(D10=4,AU22))))</f>
        <v>0</v>
      </c>
      <c r="D22" s="1464">
        <f>IF(D10=1,AG22,IF(D10=2,AK22,IF(D10=3,AO22,IF(D10=4,AS22))))</f>
        <v>0.1716738197424893</v>
      </c>
      <c r="E22" s="1465" t="str">
        <f>IF(D10=1,"",IF(D22=F22,"",AD22))</f>
        <v/>
      </c>
      <c r="F22" s="1466" t="str">
        <f>IF(D10=1,"",IF(D10=2,AJ22,IF(D10=3,AN22,IF(D10=4,AR22))))</f>
        <v/>
      </c>
      <c r="G22" s="22" t="str">
        <f t="shared" ref="G22:G42" si="11">V22</f>
        <v>200 g de saindoux</v>
      </c>
      <c r="H22" s="22"/>
      <c r="I22" s="2454"/>
      <c r="J22" s="9"/>
      <c r="K22" s="15" t="s">
        <v>400</v>
      </c>
      <c r="L22" s="15"/>
      <c r="M22" s="15"/>
      <c r="N22" s="15"/>
      <c r="O22" s="15"/>
      <c r="P22" s="15"/>
      <c r="Q22" s="2455"/>
      <c r="S22" s="1362"/>
      <c r="T22" s="1363"/>
      <c r="U22" s="1364">
        <v>0.2</v>
      </c>
      <c r="V22" s="19" t="s">
        <v>405</v>
      </c>
      <c r="W22" s="1279">
        <f t="shared" si="10"/>
        <v>0.2</v>
      </c>
      <c r="X22" s="1289">
        <f>(W22/W11)*X11</f>
        <v>8.5836909871244649E-2</v>
      </c>
      <c r="Y22" s="18" t="str">
        <f>IF(ISBLANK(S22),"",(S22/W11)*X11)</f>
        <v/>
      </c>
      <c r="Z22" s="594">
        <f t="shared" si="8"/>
        <v>0</v>
      </c>
      <c r="AA22" s="1365">
        <f>W22/W11</f>
        <v>8.5836909871244649E-2</v>
      </c>
      <c r="AB22" s="630"/>
      <c r="AC22" s="624">
        <f>AB11</f>
        <v>0</v>
      </c>
      <c r="AD22" s="624">
        <f t="shared" si="5"/>
        <v>0</v>
      </c>
      <c r="AE22" s="1366">
        <f t="shared" si="6"/>
        <v>1</v>
      </c>
      <c r="AG22" s="1290">
        <f>((W22/W11)*AI11)</f>
        <v>0.1716738197424893</v>
      </c>
      <c r="AH22" s="18">
        <f>IF(ISTEXT(S22),S22,IF(ISBLANK(S22),0,(S22/W11)*AI11))</f>
        <v>0</v>
      </c>
      <c r="AI22" s="17">
        <f t="shared" si="0"/>
        <v>0</v>
      </c>
      <c r="AJ22" s="1291">
        <f t="shared" si="1"/>
        <v>0.1716738197424893</v>
      </c>
      <c r="AK22" s="1292">
        <f>AM11*AA22</f>
        <v>0.1716738197424893</v>
      </c>
      <c r="AL22" s="18">
        <f>IF(ISBLANK(S22),0,(S22/W11)*AM11)</f>
        <v>0</v>
      </c>
      <c r="AM22" s="594">
        <f t="shared" si="2"/>
        <v>0</v>
      </c>
      <c r="AN22" s="1292">
        <f t="shared" si="7"/>
        <v>0.1716738197424893</v>
      </c>
      <c r="AO22" s="1293">
        <f t="shared" si="3"/>
        <v>0.1716738197424893</v>
      </c>
      <c r="AP22" s="18">
        <f>IF(ISBLANK(S22),0,(S22/W43)*AO44)</f>
        <v>0</v>
      </c>
      <c r="AQ22" s="594">
        <f t="shared" si="4"/>
        <v>0</v>
      </c>
      <c r="AR22" s="649" t="s">
        <v>588</v>
      </c>
      <c r="AS22" s="648" t="s">
        <v>589</v>
      </c>
      <c r="AT22" s="648" t="s">
        <v>587</v>
      </c>
      <c r="AU22" s="648">
        <v>3</v>
      </c>
    </row>
    <row r="23" spans="1:47" ht="18.95" customHeight="1">
      <c r="A23" s="2453"/>
      <c r="B23" s="1462">
        <f>IF(D10=1,AH23,IF(D10=2,AL23,IF(D10=3,AP23,IF(D10=4,AT23))))</f>
        <v>0</v>
      </c>
      <c r="C23" s="1463">
        <f>IF(D10=1,AI23,IF(D10=2,AM23,IF(D10=3,AQ23,IF(D10=4,AU23))))</f>
        <v>0</v>
      </c>
      <c r="D23" s="1464">
        <f>IF(D10=1,AG23,IF(D10=2,AK23,IF(D10=3,AO23,IF(D10=4,AS23))))</f>
        <v>0.85836909871244649</v>
      </c>
      <c r="E23" s="1465" t="str">
        <f>IF(D10=1,"",IF(D23=F23,"",AD23))</f>
        <v/>
      </c>
      <c r="F23" s="1466" t="str">
        <f>IF(D10=1,"",IF(D10=2,AJ23,IF(D10=3,AN23,IF(D10=4,AR23))))</f>
        <v/>
      </c>
      <c r="G23" s="22" t="str">
        <f t="shared" si="11"/>
        <v xml:space="preserve">1 kg d'oignons cuits à blanc </v>
      </c>
      <c r="H23" s="22"/>
      <c r="I23" s="2454"/>
      <c r="J23" s="9">
        <v>7</v>
      </c>
      <c r="K23" s="15" t="s">
        <v>403</v>
      </c>
      <c r="L23" s="15"/>
      <c r="M23" s="15"/>
      <c r="N23" s="15"/>
      <c r="O23" s="15"/>
      <c r="P23" s="15"/>
      <c r="Q23" s="2455"/>
      <c r="S23" s="1362"/>
      <c r="T23" s="1363"/>
      <c r="U23" s="1364">
        <v>1</v>
      </c>
      <c r="V23" s="19" t="s">
        <v>407</v>
      </c>
      <c r="W23" s="1279">
        <f t="shared" si="10"/>
        <v>1</v>
      </c>
      <c r="X23" s="1289">
        <f>(W23/W11)*X11</f>
        <v>0.42918454935622324</v>
      </c>
      <c r="Y23" s="18" t="str">
        <f>IF(ISBLANK(S23),"",(S23/W11)*X11)</f>
        <v/>
      </c>
      <c r="Z23" s="594">
        <f t="shared" si="8"/>
        <v>0</v>
      </c>
      <c r="AA23" s="1365">
        <f>W23/W11</f>
        <v>0.42918454935622324</v>
      </c>
      <c r="AB23" s="630"/>
      <c r="AC23" s="624">
        <f>AB11</f>
        <v>0</v>
      </c>
      <c r="AD23" s="624">
        <f t="shared" si="5"/>
        <v>0</v>
      </c>
      <c r="AE23" s="1366">
        <f t="shared" si="6"/>
        <v>1</v>
      </c>
      <c r="AG23" s="1290">
        <f>((W23/W11)*AI11)</f>
        <v>0.85836909871244649</v>
      </c>
      <c r="AH23" s="18">
        <f>IF(ISTEXT(S23),S23,IF(ISBLANK(S23),0,(S23/W11)*AI11))</f>
        <v>0</v>
      </c>
      <c r="AI23" s="17">
        <f t="shared" si="0"/>
        <v>0</v>
      </c>
      <c r="AJ23" s="1291">
        <f t="shared" si="1"/>
        <v>0.85836909871244649</v>
      </c>
      <c r="AK23" s="1292">
        <f>AM11*AA23</f>
        <v>0.85836909871244649</v>
      </c>
      <c r="AL23" s="18">
        <f>IF(ISBLANK(S23),0,(S23/W11)*AM11)</f>
        <v>0</v>
      </c>
      <c r="AM23" s="594">
        <f t="shared" si="2"/>
        <v>0</v>
      </c>
      <c r="AN23" s="1292">
        <f t="shared" si="7"/>
        <v>0.85836909871244649</v>
      </c>
      <c r="AO23" s="1293">
        <f t="shared" si="3"/>
        <v>0.85836909871244649</v>
      </c>
      <c r="AP23" s="18">
        <f>IF(ISBLANK(S23),0,(S23/W43)*AO44)</f>
        <v>0</v>
      </c>
      <c r="AQ23" s="594">
        <f t="shared" si="4"/>
        <v>0</v>
      </c>
      <c r="AR23" s="649" t="s">
        <v>588</v>
      </c>
      <c r="AS23" s="648" t="s">
        <v>589</v>
      </c>
      <c r="AT23" s="648" t="s">
        <v>587</v>
      </c>
      <c r="AU23" s="648">
        <v>3</v>
      </c>
    </row>
    <row r="24" spans="1:47" ht="18.95" customHeight="1">
      <c r="A24" s="2453"/>
      <c r="B24" s="1462">
        <f>IF(D10=1,AH24,IF(D10=2,AL24,IF(D10=3,AP24,IF(D10=4,AT24))))</f>
        <v>0</v>
      </c>
      <c r="C24" s="1463" t="str">
        <f>IF(D10=1,AI24,IF(D10=2,AM24,IF(D10=3,AQ24,IF(D10=4,AU24))))</f>
        <v>PM</v>
      </c>
      <c r="D24" s="1464">
        <f>IF(D10=1,AG24,IF(D10=2,AK24,IF(D10=3,AO24,IF(D10=4,AS24))))</f>
        <v>0</v>
      </c>
      <c r="E24" s="1465" t="str">
        <f>IF(D10=1,"",IF(D24=F24,"",AD24))</f>
        <v/>
      </c>
      <c r="F24" s="1466" t="str">
        <f>IF(D10=1,"",IF(D10=2,AJ24,IF(D10=3,AN24,IF(D10=4,AR24))))</f>
        <v/>
      </c>
      <c r="G24" s="22" t="str">
        <f t="shared" si="11"/>
        <v>dans du beurre</v>
      </c>
      <c r="H24" s="22"/>
      <c r="I24" s="2454"/>
      <c r="J24" s="9"/>
      <c r="K24" s="15" t="s">
        <v>404</v>
      </c>
      <c r="L24" s="15"/>
      <c r="M24" s="15"/>
      <c r="N24" s="15"/>
      <c r="O24" s="15"/>
      <c r="P24" s="15"/>
      <c r="Q24" s="2455"/>
      <c r="S24" s="1362"/>
      <c r="T24" s="1363" t="s">
        <v>409</v>
      </c>
      <c r="U24" s="1364"/>
      <c r="V24" s="19" t="s">
        <v>410</v>
      </c>
      <c r="W24" s="1279">
        <f t="shared" si="10"/>
        <v>0</v>
      </c>
      <c r="X24" s="1289">
        <f>(W24/W11)*X11</f>
        <v>0</v>
      </c>
      <c r="Y24" s="18" t="str">
        <f>IF(ISBLANK(S24),"",(S24/W11)*X11)</f>
        <v/>
      </c>
      <c r="Z24" s="594" t="str">
        <f t="shared" si="8"/>
        <v>PM</v>
      </c>
      <c r="AA24" s="1365">
        <f>W24/W11</f>
        <v>0</v>
      </c>
      <c r="AB24" s="630"/>
      <c r="AC24" s="624">
        <f>AB11</f>
        <v>0</v>
      </c>
      <c r="AD24" s="624">
        <f t="shared" si="5"/>
        <v>0</v>
      </c>
      <c r="AE24" s="1366">
        <f t="shared" si="6"/>
        <v>1</v>
      </c>
      <c r="AG24" s="1290">
        <f>((W24/W11)*AI11)</f>
        <v>0</v>
      </c>
      <c r="AH24" s="18">
        <f>IF(ISTEXT(S24),S24,IF(ISBLANK(S24),0,(S24/W11)*AI11))</f>
        <v>0</v>
      </c>
      <c r="AI24" s="17" t="str">
        <f t="shared" si="0"/>
        <v>PM</v>
      </c>
      <c r="AJ24" s="1291">
        <f t="shared" si="1"/>
        <v>0</v>
      </c>
      <c r="AK24" s="1292">
        <f>AM11*AA24</f>
        <v>0</v>
      </c>
      <c r="AL24" s="18">
        <f>IF(ISBLANK(S24),0,(S24/W11)*AM11)</f>
        <v>0</v>
      </c>
      <c r="AM24" s="594" t="str">
        <f t="shared" si="2"/>
        <v>PM</v>
      </c>
      <c r="AN24" s="1292">
        <f t="shared" si="7"/>
        <v>0</v>
      </c>
      <c r="AO24" s="1293">
        <f t="shared" si="3"/>
        <v>0</v>
      </c>
      <c r="AP24" s="18">
        <f>IF(ISBLANK(S24),0,(S24/W43)*AO44)</f>
        <v>0</v>
      </c>
      <c r="AQ24" s="594" t="str">
        <f t="shared" si="4"/>
        <v>PM</v>
      </c>
      <c r="AR24" s="649" t="s">
        <v>588</v>
      </c>
      <c r="AS24" s="648" t="s">
        <v>589</v>
      </c>
      <c r="AT24" s="648" t="s">
        <v>587</v>
      </c>
      <c r="AU24" s="648">
        <v>3</v>
      </c>
    </row>
    <row r="25" spans="1:47" ht="18.95" customHeight="1">
      <c r="A25" s="2453"/>
      <c r="B25" s="1462">
        <f>IF(D10=1,AH25,IF(D10=2,AL25,IF(D10=3,AP25,IF(D10=4,AT25))))</f>
        <v>0</v>
      </c>
      <c r="C25" s="1463">
        <f>IF(D10=1,AI25,IF(D10=2,AM25,IF(D10=3,AQ25,IF(D10=4,AU25))))</f>
        <v>0</v>
      </c>
      <c r="D25" s="1464">
        <f>IF(D10=1,AG25,IF(D10=2,AK25,IF(D10=3,AO25,IF(D10=4,AS25))))</f>
        <v>0.1716738197424893</v>
      </c>
      <c r="E25" s="1465" t="str">
        <f>IF(D10=1,"",IF(D25=F25,"",AD25))</f>
        <v/>
      </c>
      <c r="F25" s="1466" t="str">
        <f>IF(D10=1,"",IF(D10=2,AJ25,IF(D10=3,AN25,IF(D10=4,AR25))))</f>
        <v/>
      </c>
      <c r="G25" s="22" t="str">
        <f t="shared" si="11"/>
        <v>200 g de blanc de volaille</v>
      </c>
      <c r="H25" s="22"/>
      <c r="I25" s="2454"/>
      <c r="J25" s="9">
        <v>8</v>
      </c>
      <c r="K25" s="15" t="s">
        <v>406</v>
      </c>
      <c r="L25" s="15"/>
      <c r="M25" s="15"/>
      <c r="N25" s="15"/>
      <c r="O25" s="15"/>
      <c r="P25" s="15"/>
      <c r="Q25" s="2455"/>
      <c r="S25" s="1362"/>
      <c r="T25" s="1363"/>
      <c r="U25" s="1364">
        <v>0.2</v>
      </c>
      <c r="V25" s="19" t="s">
        <v>412</v>
      </c>
      <c r="W25" s="1279">
        <f t="shared" si="10"/>
        <v>0.2</v>
      </c>
      <c r="X25" s="1289">
        <f>(W25/W11)*X11</f>
        <v>8.5836909871244649E-2</v>
      </c>
      <c r="Y25" s="18" t="str">
        <f>IF(ISBLANK(S25),"",(S25/W11)*X11)</f>
        <v/>
      </c>
      <c r="Z25" s="594">
        <f t="shared" si="8"/>
        <v>0</v>
      </c>
      <c r="AA25" s="1365">
        <f>W25/W11</f>
        <v>8.5836909871244649E-2</v>
      </c>
      <c r="AB25" s="630"/>
      <c r="AC25" s="624">
        <f>AB11</f>
        <v>0</v>
      </c>
      <c r="AD25" s="624">
        <f t="shared" si="5"/>
        <v>0</v>
      </c>
      <c r="AE25" s="1366">
        <f t="shared" si="6"/>
        <v>1</v>
      </c>
      <c r="AG25" s="1290">
        <f>((W25/W11)*AI11)</f>
        <v>0.1716738197424893</v>
      </c>
      <c r="AH25" s="18">
        <f>IF(ISTEXT(S25),S25,IF(ISBLANK(S25),0,(S25/W11)*AI11))</f>
        <v>0</v>
      </c>
      <c r="AI25" s="17">
        <f t="shared" si="0"/>
        <v>0</v>
      </c>
      <c r="AJ25" s="1291">
        <f t="shared" si="1"/>
        <v>0.1716738197424893</v>
      </c>
      <c r="AK25" s="1292">
        <f>AM11*AA25</f>
        <v>0.1716738197424893</v>
      </c>
      <c r="AL25" s="18">
        <f>IF(ISBLANK(S25),0,(S25/W11)*AM11)</f>
        <v>0</v>
      </c>
      <c r="AM25" s="594">
        <f t="shared" si="2"/>
        <v>0</v>
      </c>
      <c r="AN25" s="1292">
        <f t="shared" si="7"/>
        <v>0.1716738197424893</v>
      </c>
      <c r="AO25" s="1293">
        <f t="shared" si="3"/>
        <v>0.1716738197424893</v>
      </c>
      <c r="AP25" s="18">
        <f>IF(ISBLANK(S25),0,(S25/W43)*AO44)</f>
        <v>0</v>
      </c>
      <c r="AQ25" s="594">
        <f t="shared" si="4"/>
        <v>0</v>
      </c>
      <c r="AR25" s="649" t="s">
        <v>588</v>
      </c>
      <c r="AS25" s="648" t="s">
        <v>589</v>
      </c>
      <c r="AT25" s="648" t="s">
        <v>587</v>
      </c>
      <c r="AU25" s="648">
        <v>3</v>
      </c>
    </row>
    <row r="26" spans="1:47" ht="18.95" customHeight="1">
      <c r="A26" s="2453"/>
      <c r="B26" s="1462">
        <f>IF(D10=1,AH26,IF(D10=2,AL26,IF(D10=3,AP26,IF(D10=4,AT26))))</f>
        <v>0</v>
      </c>
      <c r="C26" s="1463" t="str">
        <f>IF(D10=1,AI26,IF(D10=2,AM26,IF(D10=3,AQ26,IF(D10=4,AU26))))</f>
        <v>PM</v>
      </c>
      <c r="D26" s="1464">
        <f>IF(D10=1,AG26,IF(D10=2,AK26,IF(D10=3,AO26,IF(D10=4,AS26))))</f>
        <v>0</v>
      </c>
      <c r="E26" s="1465" t="str">
        <f>IF(D10=1,"",IF(D26=F26,"",AD26))</f>
        <v/>
      </c>
      <c r="F26" s="1466" t="str">
        <f>IF(D10=1,"",IF(D10=2,AJ26,IF(D10=3,AN26,IF(D10=4,AR26))))</f>
        <v/>
      </c>
      <c r="G26" s="22" t="str">
        <f t="shared" si="11"/>
        <v>boyaux de porc</v>
      </c>
      <c r="H26" s="22"/>
      <c r="I26" s="2454"/>
      <c r="J26" s="9"/>
      <c r="K26" s="15" t="s">
        <v>408</v>
      </c>
      <c r="L26" s="15"/>
      <c r="M26" s="15"/>
      <c r="N26" s="15"/>
      <c r="O26" s="15"/>
      <c r="P26" s="15"/>
      <c r="Q26" s="2455"/>
      <c r="S26" s="1362"/>
      <c r="T26" s="1363" t="s">
        <v>409</v>
      </c>
      <c r="U26" s="1364"/>
      <c r="V26" s="19" t="s">
        <v>414</v>
      </c>
      <c r="W26" s="1279">
        <f t="shared" si="10"/>
        <v>0</v>
      </c>
      <c r="X26" s="1289">
        <f>(W26/W11)*X11</f>
        <v>0</v>
      </c>
      <c r="Y26" s="18" t="str">
        <f>IF(ISBLANK(S26),"",(S26/W11)*X11)</f>
        <v/>
      </c>
      <c r="Z26" s="594" t="str">
        <f t="shared" si="8"/>
        <v>PM</v>
      </c>
      <c r="AA26" s="1365">
        <f>W26/W11</f>
        <v>0</v>
      </c>
      <c r="AB26" s="630"/>
      <c r="AC26" s="624">
        <f>AB11</f>
        <v>0</v>
      </c>
      <c r="AD26" s="624">
        <f t="shared" si="5"/>
        <v>0</v>
      </c>
      <c r="AE26" s="1366">
        <f t="shared" si="6"/>
        <v>1</v>
      </c>
      <c r="AG26" s="1290">
        <f>((W26/W11)*AI11)</f>
        <v>0</v>
      </c>
      <c r="AH26" s="18">
        <f>IF(ISTEXT(S26),S26,IF(ISBLANK(S26),0,(S26/W11)*AI11))</f>
        <v>0</v>
      </c>
      <c r="AI26" s="17" t="str">
        <f t="shared" si="0"/>
        <v>PM</v>
      </c>
      <c r="AJ26" s="1291">
        <f t="shared" si="1"/>
        <v>0</v>
      </c>
      <c r="AK26" s="1292">
        <f>AM11*AA26</f>
        <v>0</v>
      </c>
      <c r="AL26" s="18">
        <f>IF(ISBLANK(S26),0,(S26/W11)*AM11)</f>
        <v>0</v>
      </c>
      <c r="AM26" s="594" t="str">
        <f t="shared" si="2"/>
        <v>PM</v>
      </c>
      <c r="AN26" s="1292">
        <f t="shared" si="7"/>
        <v>0</v>
      </c>
      <c r="AO26" s="1293">
        <f t="shared" si="3"/>
        <v>0</v>
      </c>
      <c r="AP26" s="18">
        <f>IF(ISBLANK(S26),0,(S26/W43)*AO44)</f>
        <v>0</v>
      </c>
      <c r="AQ26" s="594" t="str">
        <f t="shared" si="4"/>
        <v>PM</v>
      </c>
      <c r="AR26" s="649" t="s">
        <v>588</v>
      </c>
      <c r="AS26" s="648" t="s">
        <v>589</v>
      </c>
      <c r="AT26" s="648" t="s">
        <v>587</v>
      </c>
      <c r="AU26" s="648">
        <v>3</v>
      </c>
    </row>
    <row r="27" spans="1:47" ht="18.95" customHeight="1">
      <c r="A27" s="2453"/>
      <c r="B27" s="1462">
        <f>IF(D10=1,AH27,IF(D10=2,AL27,IF(D10=3,AP27,IF(D10=4,AT27))))</f>
        <v>0</v>
      </c>
      <c r="C27" s="1463">
        <f>IF(D10=1,AI27,IF(D10=2,AM27,IF(D10=3,AQ27,IF(D10=4,AU27))))</f>
        <v>0</v>
      </c>
      <c r="D27" s="1464">
        <f>IF(D10=1,AG27,IF(D10=2,AK27,IF(D10=3,AO27,IF(D10=4,AS27))))</f>
        <v>0.1716738197424893</v>
      </c>
      <c r="E27" s="1465" t="str">
        <f>IF(D10=1,"",IF(D27=F27,"",AD27))</f>
        <v/>
      </c>
      <c r="F27" s="1466" t="str">
        <f>IF(D10=1,"",IF(D10=2,AJ27,IF(D10=3,AN27,IF(D10=4,AR27))))</f>
        <v/>
      </c>
      <c r="G27" s="22" t="str">
        <f t="shared" si="11"/>
        <v>200 g de mie de pain</v>
      </c>
      <c r="H27" s="22"/>
      <c r="I27" s="2454"/>
      <c r="J27" s="9"/>
      <c r="K27" s="15" t="s">
        <v>411</v>
      </c>
      <c r="L27" s="15"/>
      <c r="M27" s="15"/>
      <c r="N27" s="15"/>
      <c r="O27" s="15"/>
      <c r="P27" s="15"/>
      <c r="Q27" s="2455"/>
      <c r="S27" s="1362"/>
      <c r="T27" s="1363"/>
      <c r="U27" s="1364">
        <v>0.2</v>
      </c>
      <c r="V27" s="19" t="s">
        <v>416</v>
      </c>
      <c r="W27" s="1279">
        <f t="shared" si="10"/>
        <v>0.2</v>
      </c>
      <c r="X27" s="1289">
        <f>(W27/W11)*X11</f>
        <v>8.5836909871244649E-2</v>
      </c>
      <c r="Y27" s="18" t="str">
        <f>IF(ISBLANK(S27),"",(S27/W11)*X11)</f>
        <v/>
      </c>
      <c r="Z27" s="594">
        <f t="shared" si="8"/>
        <v>0</v>
      </c>
      <c r="AA27" s="1365">
        <f>W27/W11</f>
        <v>8.5836909871244649E-2</v>
      </c>
      <c r="AB27" s="630"/>
      <c r="AC27" s="624">
        <f>AB11</f>
        <v>0</v>
      </c>
      <c r="AD27" s="624">
        <f t="shared" si="5"/>
        <v>0</v>
      </c>
      <c r="AE27" s="1366">
        <f t="shared" si="6"/>
        <v>1</v>
      </c>
      <c r="AG27" s="1290">
        <f>((W27/W11)*AI11)</f>
        <v>0.1716738197424893</v>
      </c>
      <c r="AH27" s="18">
        <f>IF(ISTEXT(S27),S27,IF(ISBLANK(S27),0,(S27/W11)*AI11))</f>
        <v>0</v>
      </c>
      <c r="AI27" s="17">
        <f t="shared" si="0"/>
        <v>0</v>
      </c>
      <c r="AJ27" s="1291">
        <f t="shared" si="1"/>
        <v>0.1716738197424893</v>
      </c>
      <c r="AK27" s="1292">
        <f>AM11*AA27</f>
        <v>0.1716738197424893</v>
      </c>
      <c r="AL27" s="18">
        <f>IF(ISBLANK(S27),0,(S27/W11)*AM11)</f>
        <v>0</v>
      </c>
      <c r="AM27" s="594">
        <f t="shared" si="2"/>
        <v>0</v>
      </c>
      <c r="AN27" s="1292">
        <f t="shared" si="7"/>
        <v>0.1716738197424893</v>
      </c>
      <c r="AO27" s="1293">
        <f t="shared" si="3"/>
        <v>0.1716738197424893</v>
      </c>
      <c r="AP27" s="18">
        <f>IF(ISBLANK(S27),0,(S27/W43)*AO44)</f>
        <v>0</v>
      </c>
      <c r="AQ27" s="594">
        <f t="shared" si="4"/>
        <v>0</v>
      </c>
      <c r="AR27" s="649" t="s">
        <v>588</v>
      </c>
      <c r="AS27" s="648" t="s">
        <v>589</v>
      </c>
      <c r="AT27" s="648" t="s">
        <v>587</v>
      </c>
      <c r="AU27" s="648">
        <v>3</v>
      </c>
    </row>
    <row r="28" spans="1:47" ht="18.95" customHeight="1">
      <c r="A28" s="2453"/>
      <c r="B28" s="1462">
        <f>IF(D10=1,AH28,IF(D10=2,AL28,IF(D10=3,AP28,IF(D10=4,AT28))))</f>
        <v>0</v>
      </c>
      <c r="C28" s="1463">
        <f>IF(D10=1,AI28,IF(D10=2,AM28,IF(D10=3,AQ28,IF(D10=4,AU28))))</f>
        <v>0</v>
      </c>
      <c r="D28" s="1464">
        <f>IF(D10=1,AG28,IF(D10=2,AK28,IF(D10=3,AO28,IF(D10=4,AS28))))</f>
        <v>0.1716738197424893</v>
      </c>
      <c r="E28" s="1465" t="str">
        <f>IF(D10=1,"",IF(D28=F28,"",AD28))</f>
        <v/>
      </c>
      <c r="F28" s="1466" t="str">
        <f>IF(D10=1,"",IF(D10=2,AJ28,IF(D10=3,AN28,IF(D10=4,AR28))))</f>
        <v/>
      </c>
      <c r="G28" s="22" t="str">
        <f t="shared" si="11"/>
        <v>2 dl de lait</v>
      </c>
      <c r="H28" s="22"/>
      <c r="I28" s="2454"/>
      <c r="J28" s="9">
        <v>9</v>
      </c>
      <c r="K28" s="15" t="s">
        <v>413</v>
      </c>
      <c r="L28" s="15"/>
      <c r="M28" s="15"/>
      <c r="N28" s="15"/>
      <c r="O28" s="15"/>
      <c r="P28" s="15"/>
      <c r="Q28" s="2455"/>
      <c r="S28" s="1362"/>
      <c r="T28" s="1363"/>
      <c r="U28" s="1364">
        <v>0.2</v>
      </c>
      <c r="V28" s="19" t="s">
        <v>418</v>
      </c>
      <c r="W28" s="1279">
        <f t="shared" si="10"/>
        <v>0.2</v>
      </c>
      <c r="X28" s="1289">
        <f>(W28/W11)*X11</f>
        <v>8.5836909871244649E-2</v>
      </c>
      <c r="Y28" s="18" t="str">
        <f>IF(ISBLANK(S28),"",(S28/W11)*X11)</f>
        <v/>
      </c>
      <c r="Z28" s="594">
        <f t="shared" si="8"/>
        <v>0</v>
      </c>
      <c r="AA28" s="1365">
        <f>W28/W11</f>
        <v>8.5836909871244649E-2</v>
      </c>
      <c r="AB28" s="630"/>
      <c r="AC28" s="624">
        <f>AB11</f>
        <v>0</v>
      </c>
      <c r="AD28" s="624">
        <f t="shared" si="5"/>
        <v>0</v>
      </c>
      <c r="AE28" s="1366">
        <f t="shared" si="6"/>
        <v>1</v>
      </c>
      <c r="AG28" s="1290">
        <f>((W28/W11)*AI11)</f>
        <v>0.1716738197424893</v>
      </c>
      <c r="AH28" s="18">
        <f>IF(ISTEXT(S28),S28,IF(ISBLANK(S28),0,(S28/W11)*AI11))</f>
        <v>0</v>
      </c>
      <c r="AI28" s="17">
        <f t="shared" si="0"/>
        <v>0</v>
      </c>
      <c r="AJ28" s="1291">
        <f t="shared" si="1"/>
        <v>0.1716738197424893</v>
      </c>
      <c r="AK28" s="1292">
        <f>AM11*AA28</f>
        <v>0.1716738197424893</v>
      </c>
      <c r="AL28" s="18">
        <f>IF(ISBLANK(S28),0,(S28/W11)*AM11)</f>
        <v>0</v>
      </c>
      <c r="AM28" s="594">
        <f t="shared" si="2"/>
        <v>0</v>
      </c>
      <c r="AN28" s="1292">
        <f t="shared" si="7"/>
        <v>0.1716738197424893</v>
      </c>
      <c r="AO28" s="1293">
        <f t="shared" si="3"/>
        <v>0.1716738197424893</v>
      </c>
      <c r="AP28" s="18">
        <f>IF(ISBLANK(S28),0,(S28/W43)*AO44)</f>
        <v>0</v>
      </c>
      <c r="AQ28" s="594">
        <f t="shared" si="4"/>
        <v>0</v>
      </c>
      <c r="AR28" s="649" t="s">
        <v>588</v>
      </c>
      <c r="AS28" s="648" t="s">
        <v>589</v>
      </c>
      <c r="AT28" s="648" t="s">
        <v>587</v>
      </c>
      <c r="AU28" s="648">
        <v>3</v>
      </c>
    </row>
    <row r="29" spans="1:47" ht="18.95" customHeight="1">
      <c r="A29" s="2453"/>
      <c r="B29" s="1462">
        <f>IF(D10=1,AH29,IF(D10=2,AL29,IF(D10=3,AP29,IF(D10=4,AT29))))</f>
        <v>0</v>
      </c>
      <c r="C29" s="1463">
        <f>IF(D10=1,AI29,IF(D10=2,AM29,IF(D10=3,AQ29,IF(D10=4,AU29))))</f>
        <v>0</v>
      </c>
      <c r="D29" s="1464">
        <f>IF(D10=1,AG29,IF(D10=2,AK29,IF(D10=3,AO29,IF(D10=4,AS29))))</f>
        <v>0.1716738197424893</v>
      </c>
      <c r="E29" s="1465" t="str">
        <f>IF(D10=1,"",IF(D29=F29,"",AD29))</f>
        <v/>
      </c>
      <c r="F29" s="1466" t="str">
        <f>IF(D10=1,"",IF(D10=2,AJ29,IF(D10=3,AN29,IF(D10=4,AR29))))</f>
        <v/>
      </c>
      <c r="G29" s="22" t="str">
        <f t="shared" si="11"/>
        <v>2 dl de crème</v>
      </c>
      <c r="H29" s="22"/>
      <c r="I29" s="2454"/>
      <c r="J29" s="9"/>
      <c r="K29" s="15" t="s">
        <v>415</v>
      </c>
      <c r="L29" s="15"/>
      <c r="M29" s="15"/>
      <c r="N29" s="15"/>
      <c r="O29" s="15"/>
      <c r="P29" s="15"/>
      <c r="Q29" s="2455"/>
      <c r="S29" s="1362"/>
      <c r="T29" s="1363"/>
      <c r="U29" s="1364">
        <v>0.2</v>
      </c>
      <c r="V29" s="19" t="s">
        <v>420</v>
      </c>
      <c r="W29" s="1279">
        <f t="shared" si="10"/>
        <v>0.2</v>
      </c>
      <c r="X29" s="1289">
        <f>(W29/W11)*X11</f>
        <v>8.5836909871244649E-2</v>
      </c>
      <c r="Y29" s="18" t="str">
        <f>IF(ISBLANK(S29),"",(S29/W11)*X11)</f>
        <v/>
      </c>
      <c r="Z29" s="594">
        <f t="shared" si="8"/>
        <v>0</v>
      </c>
      <c r="AA29" s="1365">
        <f>W29/W11</f>
        <v>8.5836909871244649E-2</v>
      </c>
      <c r="AB29" s="630"/>
      <c r="AC29" s="624">
        <f>AB11</f>
        <v>0</v>
      </c>
      <c r="AD29" s="624">
        <f t="shared" si="5"/>
        <v>0</v>
      </c>
      <c r="AE29" s="1366">
        <f t="shared" si="6"/>
        <v>1</v>
      </c>
      <c r="AG29" s="1290">
        <f>((W29/W11)*AI11)</f>
        <v>0.1716738197424893</v>
      </c>
      <c r="AH29" s="18">
        <f>IF(ISTEXT(S29),S29,IF(ISBLANK(S29),0,(S29/W11)*AI11))</f>
        <v>0</v>
      </c>
      <c r="AI29" s="17">
        <f t="shared" si="0"/>
        <v>0</v>
      </c>
      <c r="AJ29" s="1291">
        <f t="shared" si="1"/>
        <v>0.1716738197424893</v>
      </c>
      <c r="AK29" s="1292">
        <f>AM11*AA29</f>
        <v>0.1716738197424893</v>
      </c>
      <c r="AL29" s="18">
        <f>IF(ISBLANK(S29),0,(S29/W11)*AM11)</f>
        <v>0</v>
      </c>
      <c r="AM29" s="594">
        <f t="shared" si="2"/>
        <v>0</v>
      </c>
      <c r="AN29" s="1292">
        <f t="shared" si="7"/>
        <v>0.1716738197424893</v>
      </c>
      <c r="AO29" s="1293">
        <f t="shared" si="3"/>
        <v>0.1716738197424893</v>
      </c>
      <c r="AP29" s="18">
        <f>IF(ISBLANK(S29),0,(S29/W43)*AO44)</f>
        <v>0</v>
      </c>
      <c r="AQ29" s="594">
        <f t="shared" si="4"/>
        <v>0</v>
      </c>
      <c r="AR29" s="649" t="s">
        <v>588</v>
      </c>
      <c r="AS29" s="648" t="s">
        <v>589</v>
      </c>
      <c r="AT29" s="648" t="s">
        <v>587</v>
      </c>
      <c r="AU29" s="648">
        <v>3</v>
      </c>
    </row>
    <row r="30" spans="1:47" ht="18.95" customHeight="1">
      <c r="A30" s="2453"/>
      <c r="B30" s="1462">
        <f>IF(D10=1,AH30,IF(D10=2,AL30,IF(D10=3,AP30,IF(D10=4,AT30))))</f>
        <v>0</v>
      </c>
      <c r="C30" s="1463">
        <f>IF(D10=1,AI30,IF(D10=2,AM30,IF(D10=3,AQ30,IF(D10=4,AU30))))</f>
        <v>0</v>
      </c>
      <c r="D30" s="1464">
        <f>IF(D10=1,AG30,IF(D10=2,AK30,IF(D10=3,AO30,IF(D10=4,AS30))))</f>
        <v>0.1716738197424893</v>
      </c>
      <c r="E30" s="1465" t="str">
        <f>IF(D10=1,"",IF(D30=F30,"",AD30))</f>
        <v/>
      </c>
      <c r="F30" s="1466" t="str">
        <f>IF(D10=1,"",IF(D10=2,AJ30,IF(D10=3,AN30,IF(D10=4,AR30))))</f>
        <v/>
      </c>
      <c r="G30" s="22" t="str">
        <f t="shared" si="11"/>
        <v>200 g de lard gras</v>
      </c>
      <c r="H30" s="22"/>
      <c r="I30" s="2454"/>
      <c r="J30" s="9"/>
      <c r="K30" s="15" t="s">
        <v>417</v>
      </c>
      <c r="L30" s="15"/>
      <c r="M30" s="15"/>
      <c r="N30" s="15"/>
      <c r="O30" s="15"/>
      <c r="P30" s="15"/>
      <c r="Q30" s="2455"/>
      <c r="S30" s="1362"/>
      <c r="T30" s="1363"/>
      <c r="U30" s="1364">
        <v>0.2</v>
      </c>
      <c r="V30" s="19" t="s">
        <v>422</v>
      </c>
      <c r="W30" s="1279">
        <f t="shared" si="10"/>
        <v>0.2</v>
      </c>
      <c r="X30" s="1289">
        <f>(W30/W11)*X11</f>
        <v>8.5836909871244649E-2</v>
      </c>
      <c r="Y30" s="18" t="str">
        <f>IF(ISBLANK(S30),"",(S30/W11)*X11)</f>
        <v/>
      </c>
      <c r="Z30" s="594">
        <f t="shared" si="8"/>
        <v>0</v>
      </c>
      <c r="AA30" s="1365">
        <f>W30/W11</f>
        <v>8.5836909871244649E-2</v>
      </c>
      <c r="AB30" s="630"/>
      <c r="AC30" s="624">
        <f>AB11</f>
        <v>0</v>
      </c>
      <c r="AD30" s="624">
        <f t="shared" si="5"/>
        <v>0</v>
      </c>
      <c r="AE30" s="1366">
        <f t="shared" si="6"/>
        <v>1</v>
      </c>
      <c r="AG30" s="1290">
        <f>((W30/W11)*AI11)</f>
        <v>0.1716738197424893</v>
      </c>
      <c r="AH30" s="18">
        <f>IF(ISTEXT(S30),S30,IF(ISBLANK(S30),0,(S30/W11)*AI11))</f>
        <v>0</v>
      </c>
      <c r="AI30" s="17">
        <f t="shared" si="0"/>
        <v>0</v>
      </c>
      <c r="AJ30" s="1291">
        <f t="shared" si="1"/>
        <v>0.1716738197424893</v>
      </c>
      <c r="AK30" s="1292">
        <f>AM11*AA30</f>
        <v>0.1716738197424893</v>
      </c>
      <c r="AL30" s="18">
        <f>IF(ISBLANK(S30),0,(S30/W11)*AM11)</f>
        <v>0</v>
      </c>
      <c r="AM30" s="594">
        <f t="shared" si="2"/>
        <v>0</v>
      </c>
      <c r="AN30" s="1292">
        <f t="shared" si="7"/>
        <v>0.1716738197424893</v>
      </c>
      <c r="AO30" s="1293">
        <f t="shared" si="3"/>
        <v>0.1716738197424893</v>
      </c>
      <c r="AP30" s="18">
        <f>IF(ISBLANK(S30),0,(S30/W43)*AO44)</f>
        <v>0</v>
      </c>
      <c r="AQ30" s="594">
        <f t="shared" si="4"/>
        <v>0</v>
      </c>
      <c r="AR30" s="649" t="s">
        <v>588</v>
      </c>
      <c r="AS30" s="648" t="s">
        <v>589</v>
      </c>
      <c r="AT30" s="648" t="s">
        <v>587</v>
      </c>
      <c r="AU30" s="648">
        <v>3</v>
      </c>
    </row>
    <row r="31" spans="1:47" ht="18.95" customHeight="1">
      <c r="A31" s="2453"/>
      <c r="B31" s="1462">
        <f>IF(D10=1,AH31,IF(D10=2,AL31,IF(D10=3,AP31,IF(D10=4,AT31))))</f>
        <v>3.433476394849786</v>
      </c>
      <c r="C31" s="1463" t="str">
        <f>IF(D10=1,AI31,IF(D10=2,AM31,IF(D10=3,AQ31,IF(D10=4,AU31))))</f>
        <v>jaunes</v>
      </c>
      <c r="D31" s="1464">
        <f>IF(D10=1,AG31,IF(D10=2,AK31,IF(D10=3,AO31,IF(D10=4,AS31))))</f>
        <v>6.8669527896995722E-2</v>
      </c>
      <c r="E31" s="1465" t="str">
        <f>IF(D10=1,"",IF(D31=F31,"",AD31))</f>
        <v/>
      </c>
      <c r="F31" s="1466" t="str">
        <f>IF(D10=1,"",IF(D10=2,AJ31,IF(D10=3,AN31,IF(D10=4,AR31))))</f>
        <v/>
      </c>
      <c r="G31" s="22" t="str">
        <f t="shared" si="11"/>
        <v>4 jaunes d'oeufs</v>
      </c>
      <c r="H31" s="22"/>
      <c r="I31" s="2454"/>
      <c r="J31" s="9"/>
      <c r="K31" s="15" t="s">
        <v>419</v>
      </c>
      <c r="L31" s="15"/>
      <c r="M31" s="15"/>
      <c r="N31" s="15"/>
      <c r="O31" s="15"/>
      <c r="P31" s="15"/>
      <c r="Q31" s="2455"/>
      <c r="S31" s="1362">
        <v>4</v>
      </c>
      <c r="T31" s="1363" t="s">
        <v>424</v>
      </c>
      <c r="U31" s="1364">
        <v>0.02</v>
      </c>
      <c r="V31" s="19" t="s">
        <v>425</v>
      </c>
      <c r="W31" s="1279">
        <f t="shared" si="10"/>
        <v>0.08</v>
      </c>
      <c r="X31" s="1289">
        <f>(W31/W11)*X11</f>
        <v>3.4334763948497861E-2</v>
      </c>
      <c r="Y31" s="18">
        <f>IF(ISBLANK(S31),"",(S31/W11)*X11)</f>
        <v>1.716738197424893</v>
      </c>
      <c r="Z31" s="594" t="str">
        <f t="shared" si="8"/>
        <v>jaunes</v>
      </c>
      <c r="AA31" s="1365">
        <f>W31/W11</f>
        <v>3.4334763948497861E-2</v>
      </c>
      <c r="AB31" s="630"/>
      <c r="AC31" s="624">
        <f>AB11</f>
        <v>0</v>
      </c>
      <c r="AD31" s="624">
        <f t="shared" si="5"/>
        <v>0</v>
      </c>
      <c r="AE31" s="1366">
        <f t="shared" si="6"/>
        <v>1</v>
      </c>
      <c r="AG31" s="1290">
        <f>((W31/W11)*AI11)</f>
        <v>6.8669527896995722E-2</v>
      </c>
      <c r="AH31" s="18">
        <f>IF(ISTEXT(S31),S31,IF(ISBLANK(S31),0,(S31/W11)*AI11))</f>
        <v>3.433476394849786</v>
      </c>
      <c r="AI31" s="17" t="str">
        <f t="shared" si="0"/>
        <v>jaunes</v>
      </c>
      <c r="AJ31" s="1291">
        <f t="shared" si="1"/>
        <v>6.8669527896995722E-2</v>
      </c>
      <c r="AK31" s="1292">
        <f>AM11*AA31</f>
        <v>6.8669527896995722E-2</v>
      </c>
      <c r="AL31" s="18">
        <f>IF(ISBLANK(S31),0,(S31/W11)*AM11)</f>
        <v>3.433476394849786</v>
      </c>
      <c r="AM31" s="594" t="str">
        <f t="shared" si="2"/>
        <v>jaunes</v>
      </c>
      <c r="AN31" s="1292">
        <f t="shared" si="7"/>
        <v>6.8669527896995722E-2</v>
      </c>
      <c r="AO31" s="1293">
        <f t="shared" si="3"/>
        <v>6.8669527896995722E-2</v>
      </c>
      <c r="AP31" s="18">
        <f>IF(ISBLANK(S31),0,(S31/W43)*AO44)</f>
        <v>3.433476394849786</v>
      </c>
      <c r="AQ31" s="594" t="str">
        <f t="shared" si="4"/>
        <v>jaunes</v>
      </c>
      <c r="AR31" s="649" t="s">
        <v>588</v>
      </c>
      <c r="AS31" s="648" t="s">
        <v>589</v>
      </c>
      <c r="AT31" s="648" t="s">
        <v>587</v>
      </c>
      <c r="AU31" s="648">
        <v>3</v>
      </c>
    </row>
    <row r="32" spans="1:47" ht="18.95" customHeight="1">
      <c r="A32" s="2453"/>
      <c r="B32" s="1462">
        <f>IF(D10=1,AH32,IF(D10=2,AL32,IF(D10=3,AP32,IF(D10=4,AT32))))</f>
        <v>0</v>
      </c>
      <c r="C32" s="1463">
        <f>IF(D10=1,AI32,IF(D10=2,AM32,IF(D10=3,AQ32,IF(D10=4,AU32))))</f>
        <v>0</v>
      </c>
      <c r="D32" s="1464">
        <f>IF(D10=1,AG32,IF(D10=2,AK32,IF(D10=3,AO32,IF(D10=4,AS32))))</f>
        <v>4.2918454935622324E-2</v>
      </c>
      <c r="E32" s="1465" t="str">
        <f>IF(D10=1,"",IF(D32=F32,"",AD32))</f>
        <v/>
      </c>
      <c r="F32" s="1466" t="str">
        <f>IF(D10=1,"",IF(D10=2,AJ32,IF(D10=3,AN32,IF(D10=4,AR32))))</f>
        <v/>
      </c>
      <c r="G32" s="22" t="str">
        <f t="shared" si="11"/>
        <v>50 g de beurre</v>
      </c>
      <c r="H32" s="22"/>
      <c r="I32" s="2454"/>
      <c r="J32" s="9"/>
      <c r="K32" s="15" t="s">
        <v>421</v>
      </c>
      <c r="L32" s="15"/>
      <c r="M32" s="15"/>
      <c r="N32" s="15"/>
      <c r="O32" s="15"/>
      <c r="P32" s="15"/>
      <c r="Q32" s="2455"/>
      <c r="S32" s="1362"/>
      <c r="T32" s="1363"/>
      <c r="U32" s="1364">
        <v>0.05</v>
      </c>
      <c r="V32" s="19" t="s">
        <v>427</v>
      </c>
      <c r="W32" s="1279">
        <f t="shared" si="10"/>
        <v>0.05</v>
      </c>
      <c r="X32" s="1289">
        <f>(W32/W11)*X11</f>
        <v>2.1459227467811162E-2</v>
      </c>
      <c r="Y32" s="18" t="str">
        <f>IF(ISBLANK(S32),"",(S32/W11)*X11)</f>
        <v/>
      </c>
      <c r="Z32" s="594">
        <f t="shared" si="8"/>
        <v>0</v>
      </c>
      <c r="AA32" s="1365">
        <f>W32/W11</f>
        <v>2.1459227467811162E-2</v>
      </c>
      <c r="AB32" s="630"/>
      <c r="AC32" s="624">
        <f>AB11</f>
        <v>0</v>
      </c>
      <c r="AD32" s="624">
        <f t="shared" si="5"/>
        <v>0</v>
      </c>
      <c r="AE32" s="1366">
        <f t="shared" si="6"/>
        <v>1</v>
      </c>
      <c r="AG32" s="1290">
        <f>((W32/W11)*AI11)</f>
        <v>4.2918454935622324E-2</v>
      </c>
      <c r="AH32" s="18">
        <f>IF(ISTEXT(S32),S32,IF(ISBLANK(S32),0,(S32/W11)*AI11))</f>
        <v>0</v>
      </c>
      <c r="AI32" s="17">
        <f t="shared" si="0"/>
        <v>0</v>
      </c>
      <c r="AJ32" s="1291">
        <f t="shared" si="1"/>
        <v>4.2918454935622324E-2</v>
      </c>
      <c r="AK32" s="1292">
        <f>AM11*AA32</f>
        <v>4.2918454935622324E-2</v>
      </c>
      <c r="AL32" s="18">
        <f>IF(ISBLANK(S32),0,(S32/W11)*AM11)</f>
        <v>0</v>
      </c>
      <c r="AM32" s="594">
        <f t="shared" si="2"/>
        <v>0</v>
      </c>
      <c r="AN32" s="1292">
        <f t="shared" si="7"/>
        <v>4.2918454935622324E-2</v>
      </c>
      <c r="AO32" s="1293">
        <f t="shared" si="3"/>
        <v>4.2918454935622324E-2</v>
      </c>
      <c r="AP32" s="18">
        <f>IF(ISBLANK(S32),0,(S32/W43)*AO44)</f>
        <v>0</v>
      </c>
      <c r="AQ32" s="594">
        <f t="shared" si="4"/>
        <v>0</v>
      </c>
      <c r="AR32" s="649" t="s">
        <v>588</v>
      </c>
      <c r="AS32" s="648" t="s">
        <v>589</v>
      </c>
      <c r="AT32" s="648" t="s">
        <v>587</v>
      </c>
      <c r="AU32" s="648">
        <v>3</v>
      </c>
    </row>
    <row r="33" spans="1:47" ht="18.95" customHeight="1">
      <c r="A33" s="2453"/>
      <c r="B33" s="1462">
        <f>IF(D10=1,AH33,IF(D10=2,AL33,IF(D10=3,AP33,IF(D10=4,AT33))))</f>
        <v>0</v>
      </c>
      <c r="C33" s="1463" t="str">
        <f>IF(D10=1,AI33,IF(D10=2,AM33,IF(D10=3,AQ33,IF(D10=4,AU33))))</f>
        <v>?</v>
      </c>
      <c r="D33" s="1464">
        <f>IF(D10=1,AG33,IF(D10=2,AK33,IF(D10=3,AO33,IF(D10=4,AS33))))</f>
        <v>0</v>
      </c>
      <c r="E33" s="1465" t="str">
        <f>IF(D10=1,"",IF(D33=F33,"",AD33))</f>
        <v/>
      </c>
      <c r="F33" s="1466" t="str">
        <f>IF(D10=1,"",IF(D10=2,AJ33,IF(D10=3,AN33,IF(D10=4,AR33))))</f>
        <v/>
      </c>
      <c r="G33" s="22" t="str">
        <f t="shared" si="11"/>
        <v>sel</v>
      </c>
      <c r="H33" s="22"/>
      <c r="I33" s="2454"/>
      <c r="J33" s="9">
        <v>10</v>
      </c>
      <c r="K33" s="15" t="s">
        <v>423</v>
      </c>
      <c r="L33" s="15"/>
      <c r="M33" s="15"/>
      <c r="N33" s="15"/>
      <c r="O33" s="15"/>
      <c r="P33" s="15"/>
      <c r="Q33" s="2455"/>
      <c r="S33" s="1362"/>
      <c r="T33" s="1363" t="s">
        <v>70</v>
      </c>
      <c r="U33" s="1364"/>
      <c r="V33" s="19" t="s">
        <v>429</v>
      </c>
      <c r="W33" s="1279">
        <f t="shared" si="10"/>
        <v>0</v>
      </c>
      <c r="X33" s="1289">
        <f>(W33/W11)*X11</f>
        <v>0</v>
      </c>
      <c r="Y33" s="18" t="str">
        <f>IF(ISBLANK(S33),"",(S33/W11)*X11)</f>
        <v/>
      </c>
      <c r="Z33" s="594" t="str">
        <f t="shared" si="8"/>
        <v>?</v>
      </c>
      <c r="AA33" s="1365">
        <f>W33/W11</f>
        <v>0</v>
      </c>
      <c r="AB33" s="630"/>
      <c r="AC33" s="624">
        <f>AB11</f>
        <v>0</v>
      </c>
      <c r="AD33" s="624">
        <f t="shared" si="5"/>
        <v>0</v>
      </c>
      <c r="AE33" s="1366">
        <f t="shared" si="6"/>
        <v>1</v>
      </c>
      <c r="AG33" s="1290">
        <f>((W33/W11)*AI11)</f>
        <v>0</v>
      </c>
      <c r="AH33" s="18">
        <f>IF(ISTEXT(S33),S33,IF(ISBLANK(S33),0,(S33/W11)*AI11))</f>
        <v>0</v>
      </c>
      <c r="AI33" s="17" t="str">
        <f t="shared" si="0"/>
        <v>?</v>
      </c>
      <c r="AJ33" s="1291">
        <f t="shared" si="1"/>
        <v>0</v>
      </c>
      <c r="AK33" s="1292">
        <f>AM11*AA33</f>
        <v>0</v>
      </c>
      <c r="AL33" s="18">
        <f>IF(ISBLANK(S33),0,(S33/W11)*AM11)</f>
        <v>0</v>
      </c>
      <c r="AM33" s="594" t="str">
        <f t="shared" si="2"/>
        <v>?</v>
      </c>
      <c r="AN33" s="1292">
        <f t="shared" si="7"/>
        <v>0</v>
      </c>
      <c r="AO33" s="1293">
        <f t="shared" si="3"/>
        <v>0</v>
      </c>
      <c r="AP33" s="18">
        <f>IF(ISBLANK(S33),0,(S33/W43)*AO44)</f>
        <v>0</v>
      </c>
      <c r="AQ33" s="594" t="str">
        <f t="shared" si="4"/>
        <v>?</v>
      </c>
      <c r="AR33" s="649" t="s">
        <v>588</v>
      </c>
      <c r="AS33" s="648" t="s">
        <v>589</v>
      </c>
      <c r="AT33" s="648" t="s">
        <v>587</v>
      </c>
      <c r="AU33" s="648">
        <v>3</v>
      </c>
    </row>
    <row r="34" spans="1:47" ht="18.95" customHeight="1">
      <c r="A34" s="2453"/>
      <c r="B34" s="1462">
        <f>IF(D10=1,AH34,IF(D10=2,AL34,IF(D10=3,AP34,IF(D10=4,AT34))))</f>
        <v>0</v>
      </c>
      <c r="C34" s="1463" t="str">
        <f>IF(D10=1,AI34,IF(D10=2,AM34,IF(D10=3,AQ34,IF(D10=4,AU34))))</f>
        <v>?</v>
      </c>
      <c r="D34" s="1464">
        <f>IF(D10=1,AG34,IF(D10=2,AK34,IF(D10=3,AO34,IF(D10=4,AS34))))</f>
        <v>0</v>
      </c>
      <c r="E34" s="1465" t="str">
        <f>IF(D10=1,"",IF(D34=F34,"",AD34))</f>
        <v/>
      </c>
      <c r="F34" s="1466" t="str">
        <f>IF(D10=1,"",IF(D10=2,AJ34,IF(D10=3,AN34,IF(D10=4,AR34))))</f>
        <v/>
      </c>
      <c r="G34" s="22" t="str">
        <f t="shared" si="11"/>
        <v>poivre</v>
      </c>
      <c r="H34" s="22"/>
      <c r="I34" s="2454"/>
      <c r="J34" s="9"/>
      <c r="K34" s="15" t="s">
        <v>426</v>
      </c>
      <c r="L34" s="15"/>
      <c r="M34" s="15"/>
      <c r="N34" s="15"/>
      <c r="O34" s="15"/>
      <c r="P34" s="15"/>
      <c r="Q34" s="2455"/>
      <c r="S34" s="1362"/>
      <c r="T34" s="1363" t="s">
        <v>70</v>
      </c>
      <c r="U34" s="1364"/>
      <c r="V34" s="19" t="s">
        <v>431</v>
      </c>
      <c r="W34" s="1279">
        <f t="shared" si="10"/>
        <v>0</v>
      </c>
      <c r="X34" s="1289">
        <f>(W34/W11)*X11</f>
        <v>0</v>
      </c>
      <c r="Y34" s="18" t="str">
        <f>IF(ISBLANK(S34),"",(S34/W11)*X11)</f>
        <v/>
      </c>
      <c r="Z34" s="594" t="str">
        <f t="shared" si="8"/>
        <v>?</v>
      </c>
      <c r="AA34" s="1365">
        <f>W34/W11</f>
        <v>0</v>
      </c>
      <c r="AB34" s="630"/>
      <c r="AC34" s="624">
        <f>AB11</f>
        <v>0</v>
      </c>
      <c r="AD34" s="624">
        <f t="shared" si="5"/>
        <v>0</v>
      </c>
      <c r="AE34" s="1366">
        <f t="shared" si="6"/>
        <v>1</v>
      </c>
      <c r="AG34" s="1290">
        <f>((W34/W11)*AI11)</f>
        <v>0</v>
      </c>
      <c r="AH34" s="18">
        <f>IF(ISTEXT(S34),S34,IF(ISBLANK(S34),0,(S34/W11)*AI11))</f>
        <v>0</v>
      </c>
      <c r="AI34" s="17" t="str">
        <f t="shared" si="0"/>
        <v>?</v>
      </c>
      <c r="AJ34" s="1291">
        <f t="shared" si="1"/>
        <v>0</v>
      </c>
      <c r="AK34" s="1292">
        <f>AM11*AA34</f>
        <v>0</v>
      </c>
      <c r="AL34" s="18">
        <f>IF(ISBLANK(S34),0,(S34/W11)*AM11)</f>
        <v>0</v>
      </c>
      <c r="AM34" s="594" t="str">
        <f t="shared" si="2"/>
        <v>?</v>
      </c>
      <c r="AN34" s="1292">
        <f t="shared" si="7"/>
        <v>0</v>
      </c>
      <c r="AO34" s="1293">
        <f t="shared" si="3"/>
        <v>0</v>
      </c>
      <c r="AP34" s="18">
        <f>IF(ISBLANK(S34),0,(S34/W43)*AO44)</f>
        <v>0</v>
      </c>
      <c r="AQ34" s="594" t="str">
        <f t="shared" si="4"/>
        <v>?</v>
      </c>
      <c r="AR34" s="649" t="s">
        <v>588</v>
      </c>
      <c r="AS34" s="648" t="s">
        <v>589</v>
      </c>
      <c r="AT34" s="648" t="s">
        <v>587</v>
      </c>
      <c r="AU34" s="648">
        <v>3</v>
      </c>
    </row>
    <row r="35" spans="1:47" ht="18.95" customHeight="1">
      <c r="A35" s="2453"/>
      <c r="B35" s="1462">
        <f>IF(D10=1,AH35,IF(D10=2,AL35,IF(D10=3,AP35,IF(D10=4,AT35))))</f>
        <v>0</v>
      </c>
      <c r="C35" s="1463" t="str">
        <f>IF(D10=1,AI35,IF(D10=2,AM35,IF(D10=3,AQ35,IF(D10=4,AU35))))</f>
        <v>?</v>
      </c>
      <c r="D35" s="1464">
        <f>IF(D10=1,AG35,IF(D10=2,AK35,IF(D10=3,AO35,IF(D10=4,AS35))))</f>
        <v>0</v>
      </c>
      <c r="E35" s="1465" t="str">
        <f>IF(D10=1,"",IF(D35=F35,"",AD35))</f>
        <v/>
      </c>
      <c r="F35" s="1466" t="str">
        <f>IF(D10=1,"",IF(D10=2,AJ35,IF(D10=3,AN35,IF(D10=4,AR35))))</f>
        <v/>
      </c>
      <c r="G35" s="22" t="str">
        <f t="shared" si="11"/>
        <v>muscade</v>
      </c>
      <c r="H35" s="22"/>
      <c r="I35" s="2454"/>
      <c r="J35" s="9">
        <v>11</v>
      </c>
      <c r="K35" s="15" t="s">
        <v>428</v>
      </c>
      <c r="L35" s="15"/>
      <c r="M35" s="15"/>
      <c r="N35" s="15"/>
      <c r="O35" s="15"/>
      <c r="P35" s="15"/>
      <c r="Q35" s="2455"/>
      <c r="S35" s="1362"/>
      <c r="T35" s="1363" t="s">
        <v>70</v>
      </c>
      <c r="U35" s="1364"/>
      <c r="V35" s="19" t="s">
        <v>433</v>
      </c>
      <c r="W35" s="1279">
        <f t="shared" si="10"/>
        <v>0</v>
      </c>
      <c r="X35" s="1289">
        <f>(W35/W11)*X11</f>
        <v>0</v>
      </c>
      <c r="Y35" s="18" t="str">
        <f>IF(ISBLANK(S35),"",(S35/W11)*X11)</f>
        <v/>
      </c>
      <c r="Z35" s="594" t="str">
        <f t="shared" si="8"/>
        <v>?</v>
      </c>
      <c r="AA35" s="1365">
        <f>W35/W11</f>
        <v>0</v>
      </c>
      <c r="AB35" s="630"/>
      <c r="AC35" s="624">
        <f>AB11</f>
        <v>0</v>
      </c>
      <c r="AD35" s="624">
        <f t="shared" si="5"/>
        <v>0</v>
      </c>
      <c r="AE35" s="1366">
        <f t="shared" si="6"/>
        <v>1</v>
      </c>
      <c r="AG35" s="1290">
        <f>((W35/W11)*AI11)</f>
        <v>0</v>
      </c>
      <c r="AH35" s="18">
        <f>IF(ISTEXT(S35),S35,IF(ISBLANK(S35),0,(S35/W11)*AI11))</f>
        <v>0</v>
      </c>
      <c r="AI35" s="17" t="str">
        <f t="shared" si="0"/>
        <v>?</v>
      </c>
      <c r="AJ35" s="1291">
        <f t="shared" si="1"/>
        <v>0</v>
      </c>
      <c r="AK35" s="1292">
        <f>AM11*AA35</f>
        <v>0</v>
      </c>
      <c r="AL35" s="18">
        <f>IF(ISBLANK(S35),0,(S35/W11)*AM11)</f>
        <v>0</v>
      </c>
      <c r="AM35" s="594" t="str">
        <f t="shared" si="2"/>
        <v>?</v>
      </c>
      <c r="AN35" s="1292">
        <f t="shared" si="7"/>
        <v>0</v>
      </c>
      <c r="AO35" s="1293">
        <f t="shared" si="3"/>
        <v>0</v>
      </c>
      <c r="AP35" s="18">
        <f>IF(ISBLANK(S35),0,(S35/W43)*AO44)</f>
        <v>0</v>
      </c>
      <c r="AQ35" s="594" t="str">
        <f t="shared" si="4"/>
        <v>?</v>
      </c>
      <c r="AR35" s="649" t="s">
        <v>588</v>
      </c>
      <c r="AS35" s="648" t="s">
        <v>589</v>
      </c>
      <c r="AT35" s="648" t="s">
        <v>587</v>
      </c>
      <c r="AU35" s="648">
        <v>3</v>
      </c>
    </row>
    <row r="36" spans="1:47" ht="18.95" customHeight="1">
      <c r="A36" s="2453"/>
      <c r="B36" s="1462">
        <f>IF(D10=1,AH36,IF(D10=2,AL36,IF(D10=3,AP36,IF(D10=4,AT36))))</f>
        <v>0</v>
      </c>
      <c r="C36" s="1463" t="str">
        <f>IF(D10=1,AI36,IF(D10=2,AM36,IF(D10=3,AQ36,IF(D10=4,AU36))))</f>
        <v>?</v>
      </c>
      <c r="D36" s="1464">
        <f>IF(D10=1,AG36,IF(D10=2,AK36,IF(D10=3,AO36,IF(D10=4,AS36))))</f>
        <v>0</v>
      </c>
      <c r="E36" s="1465" t="str">
        <f>IF(D10=1,"",IF(D36=F36,"",AD36))</f>
        <v/>
      </c>
      <c r="F36" s="1466" t="str">
        <f>IF(D10=1,"",IF(D10=2,AJ36,IF(D10=3,AN36,IF(D10=4,AR36))))</f>
        <v/>
      </c>
      <c r="G36" s="22" t="str">
        <f t="shared" si="11"/>
        <v>thym</v>
      </c>
      <c r="H36" s="22"/>
      <c r="I36" s="2454"/>
      <c r="J36" s="9">
        <v>12</v>
      </c>
      <c r="K36" s="15" t="s">
        <v>430</v>
      </c>
      <c r="L36" s="15"/>
      <c r="M36" s="15"/>
      <c r="N36" s="15"/>
      <c r="O36" s="15"/>
      <c r="P36" s="15"/>
      <c r="Q36" s="2455"/>
      <c r="S36" s="1362"/>
      <c r="T36" s="1363" t="s">
        <v>70</v>
      </c>
      <c r="U36" s="1364"/>
      <c r="V36" s="19" t="s">
        <v>434</v>
      </c>
      <c r="W36" s="1279">
        <f t="shared" si="10"/>
        <v>0</v>
      </c>
      <c r="X36" s="1289">
        <f>(W36/W11)*X11</f>
        <v>0</v>
      </c>
      <c r="Y36" s="18" t="str">
        <f>IF(ISBLANK(S36),"",(S36/W11)*X11)</f>
        <v/>
      </c>
      <c r="Z36" s="594" t="str">
        <f t="shared" si="8"/>
        <v>?</v>
      </c>
      <c r="AA36" s="1365">
        <f>W36/W11</f>
        <v>0</v>
      </c>
      <c r="AB36" s="630"/>
      <c r="AC36" s="624">
        <f>AB11</f>
        <v>0</v>
      </c>
      <c r="AD36" s="624">
        <f t="shared" si="5"/>
        <v>0</v>
      </c>
      <c r="AE36" s="1366">
        <f t="shared" si="6"/>
        <v>1</v>
      </c>
      <c r="AG36" s="1290">
        <f>((W36/W11)*AI11)</f>
        <v>0</v>
      </c>
      <c r="AH36" s="18">
        <f>IF(ISTEXT(S36),S36,IF(ISBLANK(S36),0,(S36/W11)*AI11))</f>
        <v>0</v>
      </c>
      <c r="AI36" s="17" t="str">
        <f t="shared" si="0"/>
        <v>?</v>
      </c>
      <c r="AJ36" s="1291">
        <f t="shared" si="1"/>
        <v>0</v>
      </c>
      <c r="AK36" s="1292">
        <f>AM11*AA36</f>
        <v>0</v>
      </c>
      <c r="AL36" s="18">
        <f>IF(ISBLANK(S36),0,(S36/W11)*AM11)</f>
        <v>0</v>
      </c>
      <c r="AM36" s="594" t="str">
        <f t="shared" si="2"/>
        <v>?</v>
      </c>
      <c r="AN36" s="1292">
        <f t="shared" si="7"/>
        <v>0</v>
      </c>
      <c r="AO36" s="1293">
        <f t="shared" si="3"/>
        <v>0</v>
      </c>
      <c r="AP36" s="18">
        <f>IF(ISBLANK(S36),0,(S36/W43)*AO44)</f>
        <v>0</v>
      </c>
      <c r="AQ36" s="594" t="str">
        <f t="shared" si="4"/>
        <v>?</v>
      </c>
      <c r="AR36" s="649" t="s">
        <v>588</v>
      </c>
      <c r="AS36" s="648" t="s">
        <v>589</v>
      </c>
      <c r="AT36" s="648" t="s">
        <v>587</v>
      </c>
      <c r="AU36" s="648">
        <v>3</v>
      </c>
    </row>
    <row r="37" spans="1:47" ht="18.95" customHeight="1">
      <c r="A37" s="2453"/>
      <c r="B37" s="1462">
        <f>IF(D10=1,AH37,IF(D10=2,AL37,IF(D10=3,AP37,IF(D10=4,AT37))))</f>
        <v>0</v>
      </c>
      <c r="C37" s="1463" t="str">
        <f>IF(D10=1,AI37,IF(D10=2,AM37,IF(D10=3,AQ37,IF(D10=4,AU37))))</f>
        <v>?</v>
      </c>
      <c r="D37" s="1464">
        <f>IF(D10=1,AG37,IF(D10=2,AK37,IF(D10=3,AO37,IF(D10=4,AS37))))</f>
        <v>0</v>
      </c>
      <c r="E37" s="1465" t="str">
        <f>IF(D10=1,"",IF(D37=F37,"",AD37))</f>
        <v/>
      </c>
      <c r="F37" s="1466" t="str">
        <f>IF(D10=1,"",IF(D10=2,AJ37,IF(D10=3,AN37,IF(D10=4,AR37))))</f>
        <v/>
      </c>
      <c r="G37" s="22" t="str">
        <f t="shared" si="11"/>
        <v>laurier</v>
      </c>
      <c r="H37" s="22"/>
      <c r="I37" s="2454"/>
      <c r="J37" s="9"/>
      <c r="K37" s="15" t="s">
        <v>432</v>
      </c>
      <c r="L37" s="15"/>
      <c r="M37" s="15"/>
      <c r="N37" s="15"/>
      <c r="O37" s="15"/>
      <c r="P37" s="15"/>
      <c r="Q37" s="2455"/>
      <c r="S37" s="1362"/>
      <c r="T37" s="1363" t="s">
        <v>70</v>
      </c>
      <c r="U37" s="1364"/>
      <c r="V37" s="19" t="s">
        <v>130</v>
      </c>
      <c r="W37" s="1279">
        <f t="shared" si="10"/>
        <v>0</v>
      </c>
      <c r="X37" s="1289">
        <f>(W37/W11)*X11</f>
        <v>0</v>
      </c>
      <c r="Y37" s="18" t="str">
        <f>IF(ISBLANK(S37),"",(S37/W11)*X11)</f>
        <v/>
      </c>
      <c r="Z37" s="594" t="str">
        <f t="shared" si="8"/>
        <v>?</v>
      </c>
      <c r="AA37" s="1365">
        <f>W37/W11</f>
        <v>0</v>
      </c>
      <c r="AB37" s="630"/>
      <c r="AC37" s="624">
        <f>AB11</f>
        <v>0</v>
      </c>
      <c r="AD37" s="624">
        <f t="shared" si="5"/>
        <v>0</v>
      </c>
      <c r="AE37" s="1366">
        <f t="shared" si="6"/>
        <v>1</v>
      </c>
      <c r="AG37" s="1290">
        <f>((W37/W11)*AI11)</f>
        <v>0</v>
      </c>
      <c r="AH37" s="18">
        <f>IF(ISTEXT(S37),S37,IF(ISBLANK(S37),0,(S37/W11)*AI11))</f>
        <v>0</v>
      </c>
      <c r="AI37" s="17" t="str">
        <f t="shared" si="0"/>
        <v>?</v>
      </c>
      <c r="AJ37" s="1291">
        <f t="shared" si="1"/>
        <v>0</v>
      </c>
      <c r="AK37" s="1292">
        <f>AM11*AA37</f>
        <v>0</v>
      </c>
      <c r="AL37" s="18">
        <f>IF(ISBLANK(S37),0,(S37/W11)*AM11)</f>
        <v>0</v>
      </c>
      <c r="AM37" s="594" t="str">
        <f t="shared" si="2"/>
        <v>?</v>
      </c>
      <c r="AN37" s="1292">
        <f t="shared" si="7"/>
        <v>0</v>
      </c>
      <c r="AO37" s="1293">
        <f t="shared" si="3"/>
        <v>0</v>
      </c>
      <c r="AP37" s="18">
        <f>IF(ISBLANK(S37),0,(S37/W43)*AO44)</f>
        <v>0</v>
      </c>
      <c r="AQ37" s="594" t="str">
        <f t="shared" si="4"/>
        <v>?</v>
      </c>
      <c r="AR37" s="649" t="s">
        <v>588</v>
      </c>
      <c r="AS37" s="648" t="s">
        <v>589</v>
      </c>
      <c r="AT37" s="648" t="s">
        <v>587</v>
      </c>
      <c r="AU37" s="648">
        <v>3</v>
      </c>
    </row>
    <row r="38" spans="1:47" ht="18.95" customHeight="1">
      <c r="A38" s="2453"/>
      <c r="B38" s="1462">
        <f>IF(D10=1,AH38,IF(D10=2,AL38,IF(D10=3,AP38,IF(D10=4,AT38))))</f>
        <v>0</v>
      </c>
      <c r="C38" s="1463">
        <f>IF(D10=1,AI38,IF(D10=2,AM38,IF(D10=3,AQ38,IF(D10=4,AU38))))</f>
        <v>0</v>
      </c>
      <c r="D38" s="1464">
        <f>IF(D10=1,AG38,IF(D10=2,AK38,IF(D10=3,AO38,IF(D10=4,AS38))))</f>
        <v>0</v>
      </c>
      <c r="E38" s="1465" t="str">
        <f>IF(D10=1,"",IF(D38=F38,"",AD38))</f>
        <v/>
      </c>
      <c r="F38" s="1466" t="str">
        <f>IF(D10=1,"",IF(D10=2,AJ38,IF(D10=3,AN38,IF(D10=4,AR38))))</f>
        <v/>
      </c>
      <c r="G38" s="22">
        <f t="shared" si="11"/>
        <v>0</v>
      </c>
      <c r="H38" s="22"/>
      <c r="I38" s="2454"/>
      <c r="J38" s="9"/>
      <c r="K38" s="658" t="s">
        <v>435</v>
      </c>
      <c r="L38" s="338" t="s">
        <v>436</v>
      </c>
      <c r="M38" s="15"/>
      <c r="N38" s="15"/>
      <c r="O38" s="15"/>
      <c r="P38" s="15"/>
      <c r="Q38" s="2455"/>
      <c r="S38" s="1362"/>
      <c r="T38" s="1363"/>
      <c r="U38" s="1364"/>
      <c r="V38" s="19"/>
      <c r="W38" s="1279">
        <f t="shared" si="10"/>
        <v>0</v>
      </c>
      <c r="X38" s="1289">
        <f>(W38/W11)*X11</f>
        <v>0</v>
      </c>
      <c r="Y38" s="18" t="str">
        <f>IF(ISBLANK(S38),"",(S38/W11)*X11)</f>
        <v/>
      </c>
      <c r="Z38" s="594">
        <f t="shared" si="8"/>
        <v>0</v>
      </c>
      <c r="AA38" s="1365">
        <f>W38/W11</f>
        <v>0</v>
      </c>
      <c r="AB38" s="630"/>
      <c r="AC38" s="624">
        <f>AB11</f>
        <v>0</v>
      </c>
      <c r="AD38" s="624">
        <f t="shared" si="5"/>
        <v>0</v>
      </c>
      <c r="AE38" s="1366">
        <f t="shared" si="6"/>
        <v>1</v>
      </c>
      <c r="AG38" s="1290">
        <f>((W38/W11)*AI11)</f>
        <v>0</v>
      </c>
      <c r="AH38" s="18">
        <f>IF(ISTEXT(S38),S38,IF(ISBLANK(S38),0,(S38/W11)*AI11))</f>
        <v>0</v>
      </c>
      <c r="AI38" s="17">
        <f t="shared" si="0"/>
        <v>0</v>
      </c>
      <c r="AJ38" s="1291">
        <f t="shared" si="1"/>
        <v>0</v>
      </c>
      <c r="AK38" s="1292">
        <f>AM11*AA38</f>
        <v>0</v>
      </c>
      <c r="AL38" s="18">
        <f>IF(ISBLANK(S38),0,(S38/W11)*AM11)</f>
        <v>0</v>
      </c>
      <c r="AM38" s="594">
        <f t="shared" si="2"/>
        <v>0</v>
      </c>
      <c r="AN38" s="1292">
        <f t="shared" si="7"/>
        <v>0</v>
      </c>
      <c r="AO38" s="1293">
        <f t="shared" si="3"/>
        <v>0</v>
      </c>
      <c r="AP38" s="18">
        <f>IF(ISBLANK(S38),0,(S38/W43)*AO44)</f>
        <v>0</v>
      </c>
      <c r="AQ38" s="594">
        <f t="shared" si="4"/>
        <v>0</v>
      </c>
      <c r="AR38" s="649" t="s">
        <v>588</v>
      </c>
      <c r="AS38" s="648" t="s">
        <v>589</v>
      </c>
      <c r="AT38" s="648" t="s">
        <v>587</v>
      </c>
      <c r="AU38" s="648">
        <v>3</v>
      </c>
    </row>
    <row r="39" spans="1:47" ht="18.95" customHeight="1">
      <c r="A39" s="2453"/>
      <c r="B39" s="1462">
        <f>IF(D10=1,AH39,IF(D10=2,AL39,IF(D10=3,AP39,IF(D10=4,AT39))))</f>
        <v>0</v>
      </c>
      <c r="C39" s="1463">
        <f>IF(D10=1,AI39,IF(D10=2,AM39,IF(D10=3,AQ39,IF(D10=4,AU39))))</f>
        <v>0</v>
      </c>
      <c r="D39" s="1464">
        <f>IF(D10=1,AG39,IF(D10=2,AK39,IF(D10=3,AO39,IF(D10=4,AS39))))</f>
        <v>0</v>
      </c>
      <c r="E39" s="1465" t="str">
        <f>IF(D10=1,"",IF(D39=F39,"",AD39))</f>
        <v/>
      </c>
      <c r="F39" s="1466" t="str">
        <f>IF(D10=1,"",IF(D10=2,AJ39,IF(D10=3,AN39,IF(D10=4,AR39))))</f>
        <v/>
      </c>
      <c r="G39" s="22">
        <f t="shared" si="11"/>
        <v>0</v>
      </c>
      <c r="H39" s="22"/>
      <c r="I39" s="2454"/>
      <c r="J39" s="9"/>
      <c r="K39" s="15"/>
      <c r="L39" s="15"/>
      <c r="M39" s="15"/>
      <c r="N39" s="15"/>
      <c r="O39" s="15"/>
      <c r="P39" s="15"/>
      <c r="Q39" s="2455"/>
      <c r="S39" s="1362"/>
      <c r="T39" s="1363"/>
      <c r="U39" s="1364"/>
      <c r="V39" s="19"/>
      <c r="W39" s="1279">
        <f t="shared" si="10"/>
        <v>0</v>
      </c>
      <c r="X39" s="1289">
        <f>(W39/W11)*X11</f>
        <v>0</v>
      </c>
      <c r="Y39" s="18" t="str">
        <f>IF(ISBLANK(S39),"",(S39/W11)*X11)</f>
        <v/>
      </c>
      <c r="Z39" s="594">
        <f t="shared" si="8"/>
        <v>0</v>
      </c>
      <c r="AA39" s="1365">
        <f>W39/W11</f>
        <v>0</v>
      </c>
      <c r="AB39" s="630"/>
      <c r="AC39" s="624">
        <f>AB11</f>
        <v>0</v>
      </c>
      <c r="AD39" s="624">
        <f t="shared" si="5"/>
        <v>0</v>
      </c>
      <c r="AE39" s="1366">
        <f t="shared" si="6"/>
        <v>1</v>
      </c>
      <c r="AG39" s="1290">
        <f>((W39/W11)*AI11)</f>
        <v>0</v>
      </c>
      <c r="AH39" s="18">
        <f>IF(ISTEXT(S39),S39,IF(ISBLANK(S39),0,(S39/W11)*AI11))</f>
        <v>0</v>
      </c>
      <c r="AI39" s="17">
        <f t="shared" si="0"/>
        <v>0</v>
      </c>
      <c r="AJ39" s="1291">
        <f t="shared" si="1"/>
        <v>0</v>
      </c>
      <c r="AK39" s="1292">
        <f>AM11*AA39</f>
        <v>0</v>
      </c>
      <c r="AL39" s="18">
        <f>IF(ISBLANK(S39),0,(S39/W11)*AM11)</f>
        <v>0</v>
      </c>
      <c r="AM39" s="594">
        <f t="shared" si="2"/>
        <v>0</v>
      </c>
      <c r="AN39" s="1292">
        <f t="shared" si="7"/>
        <v>0</v>
      </c>
      <c r="AO39" s="1293">
        <f t="shared" si="3"/>
        <v>0</v>
      </c>
      <c r="AP39" s="18">
        <f>IF(ISBLANK(S39),0,(S39/W43)*AO44)</f>
        <v>0</v>
      </c>
      <c r="AQ39" s="594">
        <f t="shared" si="4"/>
        <v>0</v>
      </c>
      <c r="AR39" s="649" t="s">
        <v>588</v>
      </c>
      <c r="AS39" s="648" t="s">
        <v>589</v>
      </c>
      <c r="AT39" s="648" t="s">
        <v>587</v>
      </c>
      <c r="AU39" s="648">
        <v>3</v>
      </c>
    </row>
    <row r="40" spans="1:47" ht="18.95" customHeight="1">
      <c r="A40" s="2453"/>
      <c r="B40" s="1462">
        <f>IF(D10=1,AH40,IF(D10=2,AL40,IF(D10=3,AP40,IF(D10=4,AT40))))</f>
        <v>0</v>
      </c>
      <c r="C40" s="1463">
        <f>IF(D10=1,AI40,IF(D10=2,AM40,IF(D10=3,AQ40,IF(D10=4,AU40))))</f>
        <v>0</v>
      </c>
      <c r="D40" s="1464">
        <f>IF(D10=1,AG40,IF(D10=2,AK40,IF(D10=3,AO40,IF(D10=4,AS40))))</f>
        <v>0</v>
      </c>
      <c r="E40" s="1465" t="str">
        <f>IF(D10=1,"",IF(D40=F40,"",AD40))</f>
        <v/>
      </c>
      <c r="F40" s="1466" t="str">
        <f>IF(D10=1,"",IF(D10=2,AJ40,IF(D10=3,AN40,IF(D10=4,AR40))))</f>
        <v/>
      </c>
      <c r="G40" s="22">
        <f t="shared" si="11"/>
        <v>0</v>
      </c>
      <c r="H40" s="22"/>
      <c r="I40" s="2454"/>
      <c r="J40" s="9">
        <v>27</v>
      </c>
      <c r="K40" s="21" t="s">
        <v>28</v>
      </c>
      <c r="L40" s="15"/>
      <c r="M40" s="15"/>
      <c r="N40" s="15"/>
      <c r="O40" s="15"/>
      <c r="P40" s="15"/>
      <c r="Q40" s="2455"/>
      <c r="S40" s="1362"/>
      <c r="T40" s="1363"/>
      <c r="U40" s="1364"/>
      <c r="V40" s="19"/>
      <c r="W40" s="1279">
        <f t="shared" si="10"/>
        <v>0</v>
      </c>
      <c r="X40" s="1289">
        <f>(W40/W11)*X11</f>
        <v>0</v>
      </c>
      <c r="Y40" s="18" t="str">
        <f>IF(ISBLANK(S40),"",(S40/W11)*X11)</f>
        <v/>
      </c>
      <c r="Z40" s="594">
        <f t="shared" si="8"/>
        <v>0</v>
      </c>
      <c r="AA40" s="1365">
        <f>W40/W11</f>
        <v>0</v>
      </c>
      <c r="AB40" s="630"/>
      <c r="AC40" s="624">
        <f>AB11</f>
        <v>0</v>
      </c>
      <c r="AD40" s="624">
        <f t="shared" si="5"/>
        <v>0</v>
      </c>
      <c r="AE40" s="1366">
        <f t="shared" si="6"/>
        <v>1</v>
      </c>
      <c r="AG40" s="1290">
        <f>((W40/W11)*AI11)</f>
        <v>0</v>
      </c>
      <c r="AH40" s="18">
        <f>IF(ISTEXT(S40),S40,IF(ISBLANK(S40),0,(S40/W11)*AI11))</f>
        <v>0</v>
      </c>
      <c r="AI40" s="17">
        <f t="shared" si="0"/>
        <v>0</v>
      </c>
      <c r="AJ40" s="1291">
        <f t="shared" si="1"/>
        <v>0</v>
      </c>
      <c r="AK40" s="1292">
        <f>AM11*AA40</f>
        <v>0</v>
      </c>
      <c r="AL40" s="18">
        <f>IF(ISBLANK(S40),0,(S40/W11)*AM11)</f>
        <v>0</v>
      </c>
      <c r="AM40" s="594">
        <f t="shared" si="2"/>
        <v>0</v>
      </c>
      <c r="AN40" s="1292">
        <f t="shared" si="7"/>
        <v>0</v>
      </c>
      <c r="AO40" s="1293">
        <f t="shared" si="3"/>
        <v>0</v>
      </c>
      <c r="AP40" s="18">
        <f>IF(ISBLANK(S40),0,(S40/W43)*AO44)</f>
        <v>0</v>
      </c>
      <c r="AQ40" s="594">
        <f t="shared" si="4"/>
        <v>0</v>
      </c>
      <c r="AR40" s="649" t="s">
        <v>588</v>
      </c>
      <c r="AS40" s="648" t="s">
        <v>589</v>
      </c>
      <c r="AT40" s="648" t="s">
        <v>587</v>
      </c>
      <c r="AU40" s="648">
        <v>3</v>
      </c>
    </row>
    <row r="41" spans="1:47" ht="18.95" customHeight="1">
      <c r="A41" s="2453"/>
      <c r="B41" s="1462">
        <f>IF(D10=1,AH41,IF(D10=2,AL41,IF(D10=3,AP41,IF(D10=4,AT41))))</f>
        <v>0</v>
      </c>
      <c r="C41" s="1463">
        <f>IF(D10=1,AI41,IF(D10=2,AM41,IF(D10=3,AQ41,IF(D10=4,AU41))))</f>
        <v>0</v>
      </c>
      <c r="D41" s="1464">
        <f>IF(D10=1,AG41,IF(D10=2,AK41,IF(D10=3,AO41,IF(D10=4,AS41))))</f>
        <v>0</v>
      </c>
      <c r="E41" s="1465" t="str">
        <f>IF(D10=1,"",IF(D41=F41,"",AD41))</f>
        <v/>
      </c>
      <c r="F41" s="1466" t="str">
        <f>IF(D10=1,"",IF(D10=2,AJ41,IF(D10=3,AN41,IF(D10=4,AR41))))</f>
        <v/>
      </c>
      <c r="G41" s="22">
        <f t="shared" si="11"/>
        <v>0</v>
      </c>
      <c r="H41" s="22"/>
      <c r="I41" s="2454"/>
      <c r="J41" s="9">
        <v>28</v>
      </c>
      <c r="K41" s="16" t="s">
        <v>23</v>
      </c>
      <c r="L41" s="15"/>
      <c r="M41" s="15"/>
      <c r="N41" s="15"/>
      <c r="O41" s="15"/>
      <c r="P41" s="15"/>
      <c r="Q41" s="2455"/>
      <c r="S41" s="1362"/>
      <c r="T41" s="1363"/>
      <c r="U41" s="1364"/>
      <c r="V41" s="19"/>
      <c r="W41" s="1279">
        <f t="shared" si="10"/>
        <v>0</v>
      </c>
      <c r="X41" s="1289">
        <f>(W41/W11)*X11</f>
        <v>0</v>
      </c>
      <c r="Y41" s="18" t="str">
        <f>IF(ISBLANK(S41),"",(S41/W11)*X11)</f>
        <v/>
      </c>
      <c r="Z41" s="594">
        <f t="shared" si="8"/>
        <v>0</v>
      </c>
      <c r="AA41" s="1365">
        <f>W41/W11</f>
        <v>0</v>
      </c>
      <c r="AB41" s="630"/>
      <c r="AC41" s="624">
        <f>AB11</f>
        <v>0</v>
      </c>
      <c r="AD41" s="624">
        <f t="shared" si="5"/>
        <v>0</v>
      </c>
      <c r="AE41" s="1366">
        <f t="shared" si="6"/>
        <v>1</v>
      </c>
      <c r="AG41" s="1290">
        <f>((W41/W11)*AI11)</f>
        <v>0</v>
      </c>
      <c r="AH41" s="18">
        <f>IF(ISTEXT(S41),S41,IF(ISBLANK(S41),0,(S41/W11)*AI11))</f>
        <v>0</v>
      </c>
      <c r="AI41" s="17">
        <f t="shared" si="0"/>
        <v>0</v>
      </c>
      <c r="AJ41" s="1291">
        <f t="shared" si="1"/>
        <v>0</v>
      </c>
      <c r="AK41" s="1292">
        <f>AM11*AA41</f>
        <v>0</v>
      </c>
      <c r="AL41" s="18">
        <f>IF(ISBLANK(S41),0,(S41/W11)*AM11)</f>
        <v>0</v>
      </c>
      <c r="AM41" s="594">
        <f t="shared" si="2"/>
        <v>0</v>
      </c>
      <c r="AN41" s="1292">
        <f t="shared" si="7"/>
        <v>0</v>
      </c>
      <c r="AO41" s="1293">
        <f t="shared" si="3"/>
        <v>0</v>
      </c>
      <c r="AP41" s="18">
        <f>IF(ISBLANK(S41),0,(S41/W43)*AO44)</f>
        <v>0</v>
      </c>
      <c r="AQ41" s="594">
        <f t="shared" si="4"/>
        <v>0</v>
      </c>
      <c r="AR41" s="649" t="s">
        <v>588</v>
      </c>
      <c r="AS41" s="648" t="s">
        <v>589</v>
      </c>
      <c r="AT41" s="648" t="s">
        <v>587</v>
      </c>
      <c r="AU41" s="648">
        <v>3</v>
      </c>
    </row>
    <row r="42" spans="1:47" ht="18.95" customHeight="1">
      <c r="A42" s="2453"/>
      <c r="B42" s="1462">
        <f>IF(D10=1,AH42,IF(D10=2,AL42,IF(D10=3,AP42,IF(D10=4,AT42))))</f>
        <v>0</v>
      </c>
      <c r="C42" s="1463">
        <f>IF(D10=1,AI42,IF(D10=2,AM42,IF(D10=3,AQ42,IF(D10=4,AU42))))</f>
        <v>0</v>
      </c>
      <c r="D42" s="1464">
        <f>IF(D10=1,AG42,IF(D10=2,AK42,IF(D10=3,AO42,IF(D10=4,AS42))))</f>
        <v>0</v>
      </c>
      <c r="E42" s="1465" t="str">
        <f>IF(D10=1,"",IF(D42=F42,"",AD42))</f>
        <v/>
      </c>
      <c r="F42" s="1466" t="str">
        <f>IF(D10=1,"",IF(D10=2,AJ42,IF(D10=3,AN42,IF(D10=4,AR42))))</f>
        <v/>
      </c>
      <c r="G42" s="22">
        <f t="shared" si="11"/>
        <v>0</v>
      </c>
      <c r="H42" s="22"/>
      <c r="I42" s="2454"/>
      <c r="J42" s="9">
        <v>29</v>
      </c>
      <c r="K42" s="8" t="s">
        <v>15</v>
      </c>
      <c r="L42" s="7" t="s">
        <v>9</v>
      </c>
      <c r="M42" s="7"/>
      <c r="N42" s="7"/>
      <c r="O42" s="6"/>
      <c r="P42" s="15"/>
      <c r="Q42" s="2455"/>
      <c r="S42" s="1362"/>
      <c r="T42" s="1363"/>
      <c r="U42" s="1364"/>
      <c r="V42" s="19"/>
      <c r="W42" s="1279">
        <f t="shared" si="10"/>
        <v>0</v>
      </c>
      <c r="X42" s="1289">
        <f>(W42/W11)*X11</f>
        <v>0</v>
      </c>
      <c r="Y42" s="18" t="str">
        <f>IF(ISBLANK(S42),"",(S42/W11)*X11)</f>
        <v/>
      </c>
      <c r="Z42" s="594">
        <f t="shared" si="8"/>
        <v>0</v>
      </c>
      <c r="AA42" s="1365">
        <f>W42/W11</f>
        <v>0</v>
      </c>
      <c r="AB42" s="630"/>
      <c r="AC42" s="624">
        <f>AB11</f>
        <v>0</v>
      </c>
      <c r="AD42" s="624">
        <f t="shared" si="5"/>
        <v>0</v>
      </c>
      <c r="AE42" s="1366">
        <f t="shared" si="6"/>
        <v>1</v>
      </c>
      <c r="AG42" s="1290">
        <f>((W42/W11)*AI11)</f>
        <v>0</v>
      </c>
      <c r="AH42" s="18">
        <f>IF(ISTEXT(S42),S42,IF(ISBLANK(S42),0,(S42/W11)*AI11))</f>
        <v>0</v>
      </c>
      <c r="AI42" s="17">
        <f t="shared" si="0"/>
        <v>0</v>
      </c>
      <c r="AJ42" s="1291">
        <f t="shared" si="1"/>
        <v>0</v>
      </c>
      <c r="AK42" s="1292">
        <f>AM11*AA42</f>
        <v>0</v>
      </c>
      <c r="AL42" s="18">
        <f>IF(ISBLANK(S42),0,(S42/W11)*AM11)</f>
        <v>0</v>
      </c>
      <c r="AM42" s="594">
        <f t="shared" si="2"/>
        <v>0</v>
      </c>
      <c r="AN42" s="1292">
        <f t="shared" si="7"/>
        <v>0</v>
      </c>
      <c r="AO42" s="1293">
        <f t="shared" si="3"/>
        <v>0</v>
      </c>
      <c r="AP42" s="18">
        <f>IF(ISBLANK(S42),0,(S42/W43)*AO44)</f>
        <v>0</v>
      </c>
      <c r="AQ42" s="594">
        <f t="shared" si="4"/>
        <v>0</v>
      </c>
      <c r="AR42" s="649" t="s">
        <v>588</v>
      </c>
      <c r="AS42" s="648" t="s">
        <v>589</v>
      </c>
      <c r="AT42" s="648" t="s">
        <v>587</v>
      </c>
      <c r="AU42" s="648">
        <v>3</v>
      </c>
    </row>
    <row r="43" spans="1:47" ht="18.95" customHeight="1">
      <c r="A43" s="2453"/>
      <c r="B43" s="606" t="s">
        <v>22</v>
      </c>
      <c r="C43" s="606" t="s">
        <v>575</v>
      </c>
      <c r="D43" s="606" t="s">
        <v>585</v>
      </c>
      <c r="E43" s="635" t="s">
        <v>583</v>
      </c>
      <c r="F43" s="606" t="s">
        <v>584</v>
      </c>
      <c r="G43" s="606"/>
      <c r="H43" s="606"/>
      <c r="I43" s="2454"/>
      <c r="J43" s="606"/>
      <c r="K43" s="606"/>
      <c r="L43" s="606"/>
      <c r="M43" s="606"/>
      <c r="N43" s="606"/>
      <c r="O43" s="606"/>
      <c r="P43" s="606"/>
      <c r="Q43" s="2455"/>
      <c r="S43" s="14"/>
      <c r="T43" s="13"/>
      <c r="U43" s="653">
        <f>SUM(U12:U42)</f>
        <v>2.395</v>
      </c>
      <c r="V43" s="13"/>
      <c r="W43" s="1287">
        <f>SUM(W12:W42)</f>
        <v>2.3299999999999996</v>
      </c>
      <c r="X43" s="597"/>
      <c r="Y43" s="597"/>
      <c r="Z43" s="598"/>
      <c r="AA43" s="632"/>
      <c r="AB43" s="1296">
        <f>COUNTIF(AD13:AD42,"&gt;0")</f>
        <v>0</v>
      </c>
      <c r="AC43" s="631"/>
      <c r="AD43" s="621"/>
      <c r="AE43" s="598"/>
      <c r="AG43" s="607" t="s">
        <v>22</v>
      </c>
      <c r="AH43" s="621"/>
      <c r="AI43" s="621"/>
      <c r="AJ43" s="607" t="s">
        <v>22</v>
      </c>
      <c r="AK43" s="606" t="s">
        <v>22</v>
      </c>
      <c r="AL43" s="606" t="s">
        <v>225</v>
      </c>
      <c r="AM43" s="604" t="s">
        <v>575</v>
      </c>
      <c r="AN43" s="607" t="s">
        <v>22</v>
      </c>
      <c r="AO43" s="606" t="s">
        <v>22</v>
      </c>
      <c r="AP43" s="606" t="s">
        <v>225</v>
      </c>
      <c r="AQ43" s="604" t="s">
        <v>575</v>
      </c>
      <c r="AR43" s="606"/>
      <c r="AS43" s="618"/>
      <c r="AT43" s="606"/>
      <c r="AU43" s="606"/>
    </row>
    <row r="44" spans="1:47" ht="18.95" customHeight="1">
      <c r="A44" s="2453"/>
      <c r="B44" s="1311">
        <f>SUM(B13:B42)</f>
        <v>8.4334763948497855</v>
      </c>
      <c r="C44" s="1299" t="str">
        <f>IF((F44)=0,"",(D44-F44))</f>
        <v/>
      </c>
      <c r="D44" s="1299">
        <f>SUM(D13:D42)</f>
        <v>23.037500000000016</v>
      </c>
      <c r="E44" s="636" t="e">
        <f>C44/D44</f>
        <v>#VALUE!</v>
      </c>
      <c r="F44" s="1299">
        <f>SUM(F13:F42)</f>
        <v>0</v>
      </c>
      <c r="G44" s="1076" t="s">
        <v>1590</v>
      </c>
      <c r="H44" s="606"/>
      <c r="I44" s="2454"/>
      <c r="J44" s="1932" t="s">
        <v>7</v>
      </c>
      <c r="K44" s="1933" t="str">
        <f ca="1">CELL("nomfichier")</f>
        <v>F:\Bureau\pour UPRT 5 decembre\[re-boudins-blancs.xlsx]CONTENU</v>
      </c>
      <c r="L44" s="606"/>
      <c r="M44" s="606"/>
      <c r="N44" s="606"/>
      <c r="O44" s="606"/>
      <c r="P44" s="606"/>
      <c r="Q44" s="2455"/>
      <c r="S44" s="2541" t="s">
        <v>6</v>
      </c>
      <c r="T44" s="787" t="s">
        <v>5</v>
      </c>
      <c r="U44" s="1072" t="s">
        <v>437</v>
      </c>
      <c r="V44" s="1368"/>
      <c r="W44" s="1369"/>
      <c r="X44" s="1299">
        <f>SUM(X13:X43)</f>
        <v>1</v>
      </c>
      <c r="Y44" s="1299">
        <f>SUM(Y13:Y43)</f>
        <v>3.683476394849786</v>
      </c>
      <c r="Z44" s="599" t="s">
        <v>14</v>
      </c>
      <c r="AA44" s="633"/>
      <c r="AB44" s="1111"/>
      <c r="AC44" s="1111"/>
      <c r="AD44" s="1112"/>
      <c r="AE44" s="1113"/>
      <c r="AG44" s="1297">
        <f>SUM(AG13:AG42)</f>
        <v>2</v>
      </c>
      <c r="AH44" s="4"/>
      <c r="AI44" s="4"/>
      <c r="AJ44" s="1297">
        <f>SUM(AJ13:AJ42)</f>
        <v>2</v>
      </c>
      <c r="AK44" s="1299">
        <f>SUM(AK13:AK42)</f>
        <v>2</v>
      </c>
      <c r="AL44" s="605">
        <f>(AM44/AK44%)</f>
        <v>0</v>
      </c>
      <c r="AM44" s="1302">
        <f>AK44-AJ44</f>
        <v>0</v>
      </c>
      <c r="AN44" s="1299">
        <f>SUM(AN13:AN42)</f>
        <v>2</v>
      </c>
      <c r="AO44" s="1299">
        <f>SUM(AO13:AO42)</f>
        <v>2</v>
      </c>
      <c r="AP44" s="717">
        <f>(AQ44/AO44%)</f>
        <v>0</v>
      </c>
      <c r="AQ44" s="1302">
        <f>AO44-AN44</f>
        <v>0</v>
      </c>
      <c r="AR44" s="650"/>
      <c r="AS44" s="651"/>
      <c r="AT44" s="650"/>
      <c r="AU44" s="652"/>
    </row>
    <row r="45" spans="1:47" ht="18.95" customHeight="1">
      <c r="A45" s="2453"/>
      <c r="B45" s="1370" t="str">
        <f>ADDRESS(ROW(),COLUMN(),4)</f>
        <v>B45</v>
      </c>
      <c r="C45" s="1371">
        <v>2</v>
      </c>
      <c r="D45" s="1372" t="s">
        <v>1697</v>
      </c>
      <c r="E45" s="1373"/>
      <c r="F45" s="1373"/>
      <c r="G45" s="1374"/>
      <c r="H45" s="2506">
        <f>(C46*C45)/1000</f>
        <v>0.25</v>
      </c>
      <c r="I45" s="2454"/>
      <c r="J45" s="1430"/>
      <c r="K45" s="1430"/>
      <c r="L45" s="1430"/>
      <c r="M45" s="1430"/>
      <c r="N45" s="1430"/>
      <c r="O45" s="1431"/>
      <c r="P45" s="1432"/>
      <c r="Q45" s="2455"/>
      <c r="S45" s="2505"/>
      <c r="T45" s="1285" t="s">
        <v>5</v>
      </c>
      <c r="U45" s="1285"/>
      <c r="V45" s="1285"/>
      <c r="W45" s="789"/>
      <c r="X45" s="1298"/>
      <c r="Y45" s="786"/>
      <c r="Z45" s="775"/>
      <c r="AA45" s="775"/>
      <c r="AB45" s="775"/>
      <c r="AC45" s="775"/>
      <c r="AD45" s="775"/>
      <c r="AE45" s="775"/>
      <c r="AG45" s="1298"/>
      <c r="AH45" s="775"/>
      <c r="AI45" s="775"/>
      <c r="AJ45" s="1301"/>
      <c r="AK45" s="1300"/>
      <c r="AL45" s="775"/>
      <c r="AM45" s="775"/>
      <c r="AN45" s="1301"/>
      <c r="AO45" s="1301"/>
      <c r="AP45" s="778"/>
      <c r="AQ45" s="778"/>
      <c r="AR45" s="778"/>
      <c r="AS45" s="778"/>
      <c r="AT45" s="778"/>
      <c r="AU45" s="778"/>
    </row>
    <row r="46" spans="1:47" ht="19.5" customHeight="1" thickBot="1">
      <c r="A46" s="2453"/>
      <c r="B46" s="1376" t="str">
        <f t="shared" ref="B46:B48" si="12">ADDRESS(ROW(),COLUMN(),4)</f>
        <v>B46</v>
      </c>
      <c r="C46" s="1377">
        <v>125</v>
      </c>
      <c r="D46" s="1378" t="s">
        <v>1710</v>
      </c>
      <c r="E46" s="1379"/>
      <c r="F46" s="1379"/>
      <c r="G46" s="1380" t="s">
        <v>1711</v>
      </c>
      <c r="H46" s="2507"/>
      <c r="I46" s="2454"/>
      <c r="J46" s="1430"/>
      <c r="K46" s="1430"/>
      <c r="L46" s="1430"/>
      <c r="M46" s="1430"/>
      <c r="N46" s="1430"/>
      <c r="O46" s="1431"/>
      <c r="P46" s="1432"/>
      <c r="Q46" s="2455"/>
      <c r="S46" s="53"/>
      <c r="T46" s="53"/>
      <c r="U46" s="53"/>
      <c r="V46" s="53"/>
      <c r="W46" s="53"/>
      <c r="X46" s="53"/>
      <c r="Y46" s="53"/>
      <c r="Z46" s="53"/>
      <c r="AA46" s="53"/>
      <c r="AB46" s="53"/>
      <c r="AC46" s="53"/>
      <c r="AD46" s="53"/>
      <c r="AE46" s="53"/>
      <c r="AG46" s="53"/>
      <c r="AH46" s="53"/>
      <c r="AI46" s="53"/>
      <c r="AJ46" s="1117"/>
      <c r="AK46" s="1116"/>
      <c r="AL46" s="1116"/>
      <c r="AM46" s="1116"/>
      <c r="AN46" s="1116"/>
      <c r="AO46" s="1117"/>
      <c r="AP46" s="779"/>
      <c r="AQ46" s="779"/>
      <c r="AR46" s="779"/>
      <c r="AS46" s="779"/>
      <c r="AT46" s="779"/>
      <c r="AU46" s="779"/>
    </row>
    <row r="47" spans="1:47" ht="19.5" customHeight="1">
      <c r="A47" s="2453"/>
      <c r="B47" s="1376" t="str">
        <f t="shared" si="12"/>
        <v>B47</v>
      </c>
      <c r="C47" s="1381">
        <f>P8</f>
        <v>184.30000000000013</v>
      </c>
      <c r="D47" s="1382" t="s">
        <v>1715</v>
      </c>
      <c r="E47" s="1383"/>
      <c r="F47" s="1383"/>
      <c r="G47" s="1384"/>
      <c r="H47" s="2506">
        <f>((W43/C47)*C48)</f>
        <v>0.12642430819316322</v>
      </c>
      <c r="I47" s="2454"/>
      <c r="J47" s="1430"/>
      <c r="K47" s="1430"/>
      <c r="L47" s="1430"/>
      <c r="M47" s="1430"/>
      <c r="N47" s="1430"/>
      <c r="O47" s="1431"/>
      <c r="P47" s="1432"/>
      <c r="Q47" s="2455"/>
      <c r="S47" s="53"/>
      <c r="T47" s="53"/>
      <c r="U47" s="53"/>
      <c r="V47" s="53"/>
      <c r="W47" s="53"/>
      <c r="X47" s="53"/>
      <c r="Y47" s="53"/>
      <c r="Z47" s="53"/>
      <c r="AA47" s="53"/>
      <c r="AB47" s="53"/>
      <c r="AC47" s="53"/>
      <c r="AD47" s="53"/>
      <c r="AE47" s="53"/>
      <c r="AG47" s="53"/>
      <c r="AH47" s="53"/>
      <c r="AI47" s="53"/>
      <c r="AJ47" s="53"/>
      <c r="AK47" s="53"/>
      <c r="AL47" s="53"/>
      <c r="AM47" s="53"/>
      <c r="AN47" s="53"/>
      <c r="AO47" s="53"/>
      <c r="AP47" s="779"/>
      <c r="AQ47" s="779"/>
      <c r="AR47" s="779"/>
      <c r="AS47" s="779"/>
      <c r="AT47" s="779"/>
      <c r="AU47" s="779"/>
    </row>
    <row r="48" spans="1:47" ht="19.5" customHeight="1">
      <c r="A48" s="2453"/>
      <c r="B48" s="1385" t="str">
        <f t="shared" si="12"/>
        <v>B48</v>
      </c>
      <c r="C48" s="1386">
        <v>10</v>
      </c>
      <c r="D48" s="1387" t="s">
        <v>1713</v>
      </c>
      <c r="E48" s="1388"/>
      <c r="F48" s="1388"/>
      <c r="G48" s="1389"/>
      <c r="H48" s="2507"/>
      <c r="I48" s="2454"/>
      <c r="J48" s="1430"/>
      <c r="K48" s="1430"/>
      <c r="L48" s="1430"/>
      <c r="M48" s="1430"/>
      <c r="N48" s="1430"/>
      <c r="O48" s="1431"/>
      <c r="P48" s="1432"/>
      <c r="Q48" s="1087" t="s">
        <v>818</v>
      </c>
      <c r="S48" s="53"/>
      <c r="T48" s="53"/>
      <c r="U48" s="53"/>
      <c r="V48" s="53"/>
      <c r="W48" s="53"/>
      <c r="X48" s="53"/>
      <c r="Y48" s="53"/>
      <c r="Z48" s="53"/>
      <c r="AA48" s="53"/>
      <c r="AB48" s="53"/>
      <c r="AC48" s="53"/>
      <c r="AD48" s="53"/>
      <c r="AE48" s="53"/>
      <c r="AG48" s="53"/>
      <c r="AH48" s="53"/>
      <c r="AI48" s="53"/>
      <c r="AJ48" s="53"/>
      <c r="AK48" s="53"/>
      <c r="AL48" s="53"/>
      <c r="AM48" s="53"/>
      <c r="AN48" s="53"/>
      <c r="AO48" s="53"/>
      <c r="AP48" s="779"/>
      <c r="AQ48" s="779"/>
      <c r="AR48" s="779"/>
      <c r="AS48" s="779"/>
      <c r="AT48" s="779"/>
      <c r="AU48" s="779"/>
    </row>
    <row r="49" spans="1:47" ht="18.95" customHeight="1"/>
    <row r="51" spans="1:47" ht="15.75" thickBot="1"/>
    <row r="52" spans="1:47" ht="28.5" customHeight="1">
      <c r="A52" s="49" t="s">
        <v>819</v>
      </c>
      <c r="B52" s="2538" t="str">
        <f>T52</f>
        <v>Boudin blanc poêlé eventail de pomme et de foie gras</v>
      </c>
      <c r="C52" s="2484"/>
      <c r="D52" s="2484"/>
      <c r="E52" s="2484"/>
      <c r="F52" s="2484"/>
      <c r="G52" s="2484"/>
      <c r="H52" s="654" t="str">
        <f>W52</f>
        <v>N°2</v>
      </c>
      <c r="I52" s="49" t="s">
        <v>819</v>
      </c>
      <c r="J52" s="2539" t="str">
        <f>T52</f>
        <v>Boudin blanc poêlé eventail de pomme et de foie gras</v>
      </c>
      <c r="K52" s="2486"/>
      <c r="L52" s="2486"/>
      <c r="M52" s="2486"/>
      <c r="N52" s="2486"/>
      <c r="O52" s="2486"/>
      <c r="P52" s="654" t="str">
        <f>W52</f>
        <v>N°2</v>
      </c>
      <c r="Q52" s="1343" t="s">
        <v>818</v>
      </c>
      <c r="S52" s="339" t="s">
        <v>75</v>
      </c>
      <c r="T52" s="2487" t="s">
        <v>438</v>
      </c>
      <c r="U52" s="2487"/>
      <c r="V52" s="2487"/>
      <c r="W52" s="1104" t="s">
        <v>1693</v>
      </c>
      <c r="X52" s="784"/>
      <c r="Y52" s="784"/>
      <c r="Z52" s="784"/>
      <c r="AA52" s="784"/>
      <c r="AB52" s="1332" t="str">
        <f>LEFT(ADDRESS(1,COLUMN(),4),LEN(ADDRESS(1,COLUMN(),4))-1)</f>
        <v>AB</v>
      </c>
      <c r="AC52" s="784"/>
      <c r="AD52" s="784"/>
      <c r="AE52" s="1114"/>
      <c r="AG52" s="2451" t="s">
        <v>735</v>
      </c>
      <c r="AH52" s="2452"/>
      <c r="AI52" s="2452"/>
      <c r="AJ52" s="2452"/>
      <c r="AK52" s="2452"/>
      <c r="AL52" s="2452"/>
      <c r="AM52" s="2452"/>
      <c r="AN52" s="2452"/>
      <c r="AO52" s="2452"/>
      <c r="AP52" s="2452"/>
      <c r="AQ52" s="2452"/>
      <c r="AR52" s="2452"/>
      <c r="AS52" s="2452"/>
      <c r="AT52" s="2452"/>
      <c r="AU52" s="2452"/>
    </row>
    <row r="53" spans="1:47" ht="18" customHeight="1">
      <c r="A53" s="2454"/>
      <c r="B53" s="45" t="s">
        <v>73</v>
      </c>
      <c r="C53" s="48" t="str">
        <f>T53</f>
        <v>MARIE    univ-ENSAIA-lorraine.fr</v>
      </c>
      <c r="D53" s="47"/>
      <c r="E53" s="47"/>
      <c r="F53" s="47"/>
      <c r="G53" s="47"/>
      <c r="H53" s="1408"/>
      <c r="I53" s="2545"/>
      <c r="J53" s="44" t="s">
        <v>73</v>
      </c>
      <c r="K53" s="48" t="str">
        <f>T53</f>
        <v>MARIE    univ-ENSAIA-lorraine.fr</v>
      </c>
      <c r="L53" s="47"/>
      <c r="M53" s="47"/>
      <c r="N53" s="47"/>
      <c r="O53" s="47"/>
      <c r="P53" s="47"/>
      <c r="Q53" s="2542"/>
      <c r="S53" s="340" t="s">
        <v>72</v>
      </c>
      <c r="T53" s="2456" t="s">
        <v>380</v>
      </c>
      <c r="U53" s="2456"/>
      <c r="V53" s="2456"/>
      <c r="W53" s="2457"/>
      <c r="X53" s="2458" t="s">
        <v>736</v>
      </c>
      <c r="Y53" s="2459"/>
      <c r="Z53" s="2459"/>
      <c r="AA53" s="2459"/>
      <c r="AB53" s="2459"/>
      <c r="AC53" s="2459"/>
      <c r="AD53" s="2459"/>
      <c r="AE53" s="2460"/>
      <c r="AG53" s="2461" t="s">
        <v>736</v>
      </c>
      <c r="AH53" s="2462"/>
      <c r="AI53" s="2462"/>
      <c r="AJ53" s="2462"/>
      <c r="AK53" s="2462"/>
      <c r="AL53" s="2462"/>
      <c r="AM53" s="2462"/>
      <c r="AN53" s="2462"/>
      <c r="AO53" s="2462"/>
      <c r="AP53" s="2462"/>
      <c r="AQ53" s="2462"/>
      <c r="AR53" s="2462"/>
      <c r="AS53" s="2462"/>
      <c r="AT53" s="2462"/>
      <c r="AU53" s="2462"/>
    </row>
    <row r="54" spans="1:47" ht="18" customHeight="1" thickBot="1">
      <c r="A54" s="2454"/>
      <c r="B54" s="45" t="str">
        <f>S54</f>
        <v>❸ Constituant de quelle recette ?</v>
      </c>
      <c r="C54" s="46"/>
      <c r="D54" s="46"/>
      <c r="E54" s="46" t="str">
        <f>V54</f>
        <v>? une pâtisserie est souvent composée de recettes filles  attachées à une recette Mère</v>
      </c>
      <c r="F54" s="44"/>
      <c r="G54" s="54"/>
      <c r="H54" s="1409" t="s">
        <v>1716</v>
      </c>
      <c r="I54" s="2545"/>
      <c r="J54" s="44" t="str">
        <f>S54</f>
        <v>❸ Constituant de quelle recette ?</v>
      </c>
      <c r="K54" s="44"/>
      <c r="L54" s="44"/>
      <c r="M54" s="44"/>
      <c r="N54" s="44"/>
      <c r="O54" s="2463" t="str">
        <f>V54</f>
        <v>? une pâtisserie est souvent composée de recettes filles  attachées à une recette Mère</v>
      </c>
      <c r="P54" s="2463"/>
      <c r="Q54" s="2542"/>
      <c r="S54" s="341" t="s">
        <v>71</v>
      </c>
      <c r="T54" s="342"/>
      <c r="U54" s="342"/>
      <c r="V54" s="2464" t="s">
        <v>684</v>
      </c>
      <c r="W54" s="2465"/>
      <c r="X54" s="2458"/>
      <c r="Y54" s="2459"/>
      <c r="Z54" s="2459"/>
      <c r="AA54" s="2459"/>
      <c r="AB54" s="2459"/>
      <c r="AC54" s="2459"/>
      <c r="AD54" s="2459"/>
      <c r="AE54" s="2460"/>
      <c r="AG54" s="2461"/>
      <c r="AH54" s="2462"/>
      <c r="AI54" s="2462"/>
      <c r="AJ54" s="2462"/>
      <c r="AK54" s="2462"/>
      <c r="AL54" s="2462"/>
      <c r="AM54" s="2462"/>
      <c r="AN54" s="2462"/>
      <c r="AO54" s="2462"/>
      <c r="AP54" s="2462"/>
      <c r="AQ54" s="2462"/>
      <c r="AR54" s="2462"/>
      <c r="AS54" s="2462"/>
      <c r="AT54" s="2462"/>
      <c r="AU54" s="2462"/>
    </row>
    <row r="55" spans="1:47" ht="18" customHeight="1">
      <c r="A55" s="2540"/>
      <c r="B55" s="2466" t="s">
        <v>1717</v>
      </c>
      <c r="C55" s="2467"/>
      <c r="D55" s="2543">
        <v>50</v>
      </c>
      <c r="E55" s="1410" t="s">
        <v>84</v>
      </c>
      <c r="F55" s="1411">
        <f>P57</f>
        <v>6250</v>
      </c>
      <c r="G55" s="54"/>
      <c r="H55" s="1412">
        <f>D58/D55</f>
        <v>202.5</v>
      </c>
      <c r="I55" s="2545"/>
      <c r="J55" s="2473">
        <v>125</v>
      </c>
      <c r="K55" s="2393" t="s">
        <v>1694</v>
      </c>
      <c r="L55" s="2393"/>
      <c r="M55" s="1344"/>
      <c r="N55" s="1344"/>
      <c r="O55" s="2443" t="str">
        <f>IF(D57=1,"avec le poids BRUT de la recette vous pourriez faire : Nb de portions &gt;","avec le poids NET de la recette vous pourriez faire : Nb de portions &gt;")</f>
        <v>avec le poids BRUT de la recette vous pourriez faire : Nb de portions &gt;</v>
      </c>
      <c r="P55" s="2445">
        <f>IF(F58&gt;0,(F58/J55),(D58/J55))</f>
        <v>81</v>
      </c>
      <c r="Q55" s="2542"/>
      <c r="S55" s="43"/>
      <c r="T55" s="42"/>
      <c r="U55" s="42"/>
      <c r="V55" s="1335"/>
      <c r="W55" s="1055"/>
      <c r="X55" s="2447" t="s">
        <v>574</v>
      </c>
      <c r="Y55" s="2447"/>
      <c r="Z55" s="2448"/>
      <c r="AA55" s="2426" t="s">
        <v>817</v>
      </c>
      <c r="AB55" s="2427" t="str">
        <f>IF(AB58&gt;0,"vous avez saisi un % de perte pour TOUTE LA RECETTE colonne Z",IF(AB90&gt;0,"Vous avez saisi des pourcentages de PERTES par produit colonne Z","Vous pouvez saisir un % de perte pour chaque PRODUIT ou pour la recette colonne Z"))</f>
        <v>Vous pouvez saisir un % de perte pour chaque PRODUIT ou pour la recette colonne Z</v>
      </c>
      <c r="AC55" s="2427"/>
      <c r="AD55" s="2427"/>
      <c r="AE55" s="2428"/>
      <c r="AG55" s="1413">
        <f>AG91/AI58</f>
        <v>202.5</v>
      </c>
      <c r="AH55" s="1414" t="s">
        <v>1718</v>
      </c>
      <c r="AI55" s="1414"/>
      <c r="AJ55" s="1413">
        <f>AJ91/AM58</f>
        <v>202.5</v>
      </c>
      <c r="AK55" s="646">
        <f>AK91/AM58</f>
        <v>202.5</v>
      </c>
      <c r="AL55" s="1414" t="s">
        <v>1718</v>
      </c>
      <c r="AM55" s="346"/>
      <c r="AN55" s="1415">
        <f>AN91/AQ58</f>
        <v>202.5</v>
      </c>
      <c r="AO55" s="715">
        <f>AO91/AQ58</f>
        <v>202.5</v>
      </c>
      <c r="AP55" s="1414" t="s">
        <v>1718</v>
      </c>
      <c r="AQ55" s="1416"/>
      <c r="AR55" s="600"/>
      <c r="AS55" s="600"/>
      <c r="AT55" s="600"/>
      <c r="AU55" s="600"/>
    </row>
    <row r="56" spans="1:47" ht="18" customHeight="1" thickBot="1">
      <c r="A56" s="2540"/>
      <c r="B56" s="1446">
        <f>W58</f>
        <v>4</v>
      </c>
      <c r="C56" s="1447" t="s">
        <v>84</v>
      </c>
      <c r="D56" s="2544"/>
      <c r="E56" s="1417" t="s">
        <v>1719</v>
      </c>
      <c r="F56" s="1418">
        <f>P58</f>
        <v>30.864197530864196</v>
      </c>
      <c r="G56" s="726"/>
      <c r="H56" s="1409" t="s">
        <v>1720</v>
      </c>
      <c r="I56" s="2545"/>
      <c r="J56" s="2474"/>
      <c r="K56" s="2394"/>
      <c r="L56" s="2394"/>
      <c r="M56" s="1331"/>
      <c r="N56" s="1331"/>
      <c r="O56" s="2444"/>
      <c r="P56" s="2446"/>
      <c r="Q56" s="2542"/>
      <c r="S56" s="1105" t="s">
        <v>106</v>
      </c>
      <c r="T56" s="608" t="str">
        <f>AB55</f>
        <v>Vous pouvez saisir un % de perte pour chaque PRODUIT ou pour la recette colonne Z</v>
      </c>
      <c r="U56" s="42"/>
      <c r="V56" s="1335"/>
      <c r="W56" s="1055"/>
      <c r="X56" s="2447"/>
      <c r="Y56" s="2447"/>
      <c r="Z56" s="2448"/>
      <c r="AA56" s="2426"/>
      <c r="AB56" s="2427"/>
      <c r="AC56" s="2427"/>
      <c r="AD56" s="2427"/>
      <c r="AE56" s="2428"/>
      <c r="AG56" s="2468" t="s">
        <v>1721</v>
      </c>
      <c r="AH56" s="2469"/>
      <c r="AI56" s="2470"/>
      <c r="AJ56" s="2469" t="s">
        <v>697</v>
      </c>
      <c r="AK56" s="2469"/>
      <c r="AL56" s="2469"/>
      <c r="AM56" s="2469"/>
      <c r="AN56" s="2468" t="s">
        <v>698</v>
      </c>
      <c r="AO56" s="2469"/>
      <c r="AP56" s="2469"/>
      <c r="AQ56" s="2470"/>
      <c r="AR56" s="2469" t="s">
        <v>586</v>
      </c>
      <c r="AS56" s="2469"/>
      <c r="AT56" s="2469"/>
      <c r="AU56" s="2469"/>
    </row>
    <row r="57" spans="1:47" ht="18" customHeight="1">
      <c r="A57" s="2454"/>
      <c r="B57" s="613"/>
      <c r="C57" s="614" t="s">
        <v>1567</v>
      </c>
      <c r="D57" s="612">
        <v>1</v>
      </c>
      <c r="E57" s="642" t="str">
        <f>IF(D57=1,AG56,IF(D57=2,AJ56,IF(D57=3,AN56,IF(D57&gt;3,"LE N° DE CHOIX S'ARRETE AU N° 3"))))</f>
        <v>1 = RECETTE DE L'AUTEUR AVEC VOTRE EFFECTIF</v>
      </c>
      <c r="F57" s="643"/>
      <c r="G57" s="643"/>
      <c r="H57" s="1412">
        <f>IF(F58=0,0,H55*(D58/F58))</f>
        <v>0</v>
      </c>
      <c r="I57" s="2545"/>
      <c r="J57" s="1419">
        <v>50</v>
      </c>
      <c r="K57" s="1346" t="s">
        <v>1697</v>
      </c>
      <c r="L57" s="1347"/>
      <c r="M57" s="1347"/>
      <c r="N57" s="1347"/>
      <c r="O57" s="1420" t="s">
        <v>84</v>
      </c>
      <c r="P57" s="1421">
        <f>J58*J57</f>
        <v>6250</v>
      </c>
      <c r="Q57" s="2542"/>
      <c r="S57" s="38"/>
      <c r="T57" s="36" t="s">
        <v>1</v>
      </c>
      <c r="U57" s="37">
        <v>2</v>
      </c>
      <c r="V57" s="36" t="s">
        <v>0</v>
      </c>
      <c r="W57" s="1106">
        <v>2</v>
      </c>
      <c r="X57" s="2447"/>
      <c r="Y57" s="2447"/>
      <c r="Z57" s="2448"/>
      <c r="AA57" s="2426"/>
      <c r="AB57" s="2427"/>
      <c r="AC57" s="2427"/>
      <c r="AD57" s="2427"/>
      <c r="AE57" s="2428"/>
      <c r="AG57" s="2468"/>
      <c r="AH57" s="2469"/>
      <c r="AI57" s="2470"/>
      <c r="AJ57" s="2468"/>
      <c r="AK57" s="2469"/>
      <c r="AL57" s="2469"/>
      <c r="AM57" s="2469"/>
      <c r="AN57" s="2468"/>
      <c r="AO57" s="2469"/>
      <c r="AP57" s="2469"/>
      <c r="AQ57" s="2470"/>
      <c r="AR57" s="2469"/>
      <c r="AS57" s="2469"/>
      <c r="AT57" s="2469"/>
      <c r="AU57" s="2469"/>
    </row>
    <row r="58" spans="1:47" ht="30" customHeight="1">
      <c r="A58" s="2454"/>
      <c r="B58" s="639"/>
      <c r="C58" s="639" t="str">
        <f>IF(D57=1,"CHOIX N° 1",IF(D57=2,"CHOIX N° 2",IF(D57=3,"CHOIX N° 3","QUEL CHOIX?")))</f>
        <v>CHOIX N° 1</v>
      </c>
      <c r="D58" s="637">
        <f>D91</f>
        <v>10125</v>
      </c>
      <c r="E58" s="2383" t="s">
        <v>52</v>
      </c>
      <c r="F58" s="637">
        <f>F91</f>
        <v>0</v>
      </c>
      <c r="G58" s="611" t="s">
        <v>1568</v>
      </c>
      <c r="I58" s="2545"/>
      <c r="J58" s="1422">
        <v>125</v>
      </c>
      <c r="K58" s="1080" t="s">
        <v>1722</v>
      </c>
      <c r="L58" s="1081"/>
      <c r="M58" s="1081"/>
      <c r="N58" s="1423"/>
      <c r="O58" s="1424" t="s">
        <v>1723</v>
      </c>
      <c r="P58" s="1425">
        <f>P57/W59</f>
        <v>30.864197530864196</v>
      </c>
      <c r="Q58" s="2542"/>
      <c r="S58" s="31" t="s">
        <v>1562</v>
      </c>
      <c r="T58" s="30"/>
      <c r="U58" s="30"/>
      <c r="V58" s="343" t="s">
        <v>439</v>
      </c>
      <c r="W58" s="1426">
        <v>4</v>
      </c>
      <c r="X58" s="2449">
        <v>1000</v>
      </c>
      <c r="Y58" s="2449"/>
      <c r="Z58" s="2450"/>
      <c r="AA58" s="2426"/>
      <c r="AB58" s="629"/>
      <c r="AC58" s="1349" t="s">
        <v>1575</v>
      </c>
      <c r="AD58" s="1350"/>
      <c r="AE58" s="1351"/>
      <c r="AG58" s="601"/>
      <c r="AH58" s="603" t="s">
        <v>1724</v>
      </c>
      <c r="AI58" s="1427">
        <f>D55</f>
        <v>50</v>
      </c>
      <c r="AJ58" s="601"/>
      <c r="AK58" s="602"/>
      <c r="AL58" s="603" t="s">
        <v>1725</v>
      </c>
      <c r="AM58" s="1427">
        <f>D55</f>
        <v>50</v>
      </c>
      <c r="AN58" s="617"/>
      <c r="AO58" s="603"/>
      <c r="AP58" s="603" t="s">
        <v>1726</v>
      </c>
      <c r="AQ58" s="1428">
        <f>D55</f>
        <v>50</v>
      </c>
      <c r="AR58" s="602"/>
      <c r="AS58" s="593">
        <f>SUM(AS60:AS89)</f>
        <v>0</v>
      </c>
      <c r="AT58" s="615"/>
      <c r="AU58" s="616"/>
    </row>
    <row r="59" spans="1:47" ht="36.75" customHeight="1">
      <c r="A59" s="2454"/>
      <c r="B59" s="1442" t="s">
        <v>61</v>
      </c>
      <c r="C59" s="1443" t="s">
        <v>60</v>
      </c>
      <c r="D59" s="1443" t="s">
        <v>577</v>
      </c>
      <c r="E59" s="2383"/>
      <c r="F59" s="1444" t="s">
        <v>576</v>
      </c>
      <c r="G59" s="1286" t="s">
        <v>65</v>
      </c>
      <c r="H59" s="1352" t="s">
        <v>64</v>
      </c>
      <c r="I59" s="2545"/>
      <c r="J59" s="1353"/>
      <c r="K59" s="1354" t="s">
        <v>1</v>
      </c>
      <c r="L59" s="1355">
        <f>U57</f>
        <v>2</v>
      </c>
      <c r="M59" s="1355"/>
      <c r="N59" s="1355"/>
      <c r="O59" s="1356" t="s">
        <v>0</v>
      </c>
      <c r="P59" s="1355">
        <f>W57</f>
        <v>2</v>
      </c>
      <c r="Q59" s="2542"/>
      <c r="R59" s="1357" t="s">
        <v>1487</v>
      </c>
      <c r="S59" s="1358" t="s">
        <v>61</v>
      </c>
      <c r="T59" s="1359" t="s">
        <v>60</v>
      </c>
      <c r="U59" s="1360" t="s">
        <v>63</v>
      </c>
      <c r="V59" s="1434" t="s">
        <v>1728</v>
      </c>
      <c r="W59" s="1433">
        <f>W90/W58</f>
        <v>202.5</v>
      </c>
      <c r="X59" s="622" t="s">
        <v>490</v>
      </c>
      <c r="Y59" s="622" t="s">
        <v>61</v>
      </c>
      <c r="Z59" s="620" t="s">
        <v>60</v>
      </c>
      <c r="AA59" s="1060"/>
      <c r="AB59" s="718" t="s">
        <v>1565</v>
      </c>
      <c r="AC59" s="718" t="s">
        <v>702</v>
      </c>
      <c r="AD59" s="622" t="s">
        <v>703</v>
      </c>
      <c r="AE59" s="620" t="s">
        <v>474</v>
      </c>
      <c r="AF59" s="1357" t="s">
        <v>1487</v>
      </c>
      <c r="AG59" s="619" t="s">
        <v>577</v>
      </c>
      <c r="AH59" s="622" t="s">
        <v>61</v>
      </c>
      <c r="AI59" s="622" t="s">
        <v>60</v>
      </c>
      <c r="AJ59" s="619" t="s">
        <v>576</v>
      </c>
      <c r="AK59" s="645" t="s">
        <v>577</v>
      </c>
      <c r="AL59" s="622" t="s">
        <v>61</v>
      </c>
      <c r="AM59" s="620" t="s">
        <v>60</v>
      </c>
      <c r="AN59" s="645" t="s">
        <v>576</v>
      </c>
      <c r="AO59" s="622" t="s">
        <v>577</v>
      </c>
      <c r="AP59" s="622" t="s">
        <v>61</v>
      </c>
      <c r="AQ59" s="620" t="s">
        <v>60</v>
      </c>
      <c r="AR59" s="619" t="s">
        <v>576</v>
      </c>
      <c r="AS59" s="622" t="s">
        <v>577</v>
      </c>
      <c r="AT59" s="622" t="s">
        <v>61</v>
      </c>
      <c r="AU59" s="622" t="s">
        <v>60</v>
      </c>
    </row>
    <row r="60" spans="1:47" ht="18.95" customHeight="1">
      <c r="A60" s="2454"/>
      <c r="B60" s="1437">
        <f>IF(D57=1,AH60,IF(D57=2,AL60,IF(D57=3,AP60,IF(D57=4,AT60))))</f>
        <v>0</v>
      </c>
      <c r="C60" s="1438">
        <f>IF(D57=1,AI60,IF(D57=2,AM60,IF(D57=3,AQ60,IF(D57=4,AU60))))</f>
        <v>0</v>
      </c>
      <c r="D60" s="1439">
        <f>IF(D57=1,AG60,IF(D57=2,AK60,IF(D57=3,AO60,IF(D57=4,AS60))))</f>
        <v>0</v>
      </c>
      <c r="E60" s="1440" t="str">
        <f>IF(D57=1,"",IF(D60=F60,"",AD60))</f>
        <v/>
      </c>
      <c r="F60" s="1441" t="str">
        <f>IF(D57=1,"",IF(D57=2,AJ60,IF(D57=3,AN60,IF(D57=4,AR60))))</f>
        <v/>
      </c>
      <c r="G60" s="22">
        <f t="shared" ref="G60:G89" si="13">V60</f>
        <v>0</v>
      </c>
      <c r="H60" s="1074">
        <f>W90</f>
        <v>810</v>
      </c>
      <c r="I60" s="2545"/>
      <c r="J60" s="1280" t="s">
        <v>68</v>
      </c>
      <c r="K60" s="33"/>
      <c r="L60" s="32"/>
      <c r="M60" s="32"/>
      <c r="N60" s="32"/>
      <c r="O60" s="15">
        <f>J57*O62</f>
        <v>0</v>
      </c>
      <c r="P60" s="15"/>
      <c r="Q60" s="2542"/>
      <c r="S60" s="1283"/>
      <c r="T60" s="1282"/>
      <c r="U60" s="1284"/>
      <c r="V60" s="19"/>
      <c r="W60" s="626">
        <f t="shared" ref="W60:W89" si="14">IF(ISBLANK(S60),U60,(U60*S60))</f>
        <v>0</v>
      </c>
      <c r="X60" s="331">
        <f>(W60/W90)*X58</f>
        <v>0</v>
      </c>
      <c r="Y60" s="18" t="str">
        <f>IF(ISBLANK(S60),"",(S60/W90)*X58)</f>
        <v/>
      </c>
      <c r="Z60" s="594">
        <f>T60</f>
        <v>0</v>
      </c>
      <c r="AA60" s="1365">
        <f>W60/W90</f>
        <v>0</v>
      </c>
      <c r="AB60" s="630"/>
      <c r="AC60" s="624">
        <f>AB58</f>
        <v>0</v>
      </c>
      <c r="AD60" s="624">
        <f>AB60+AC60</f>
        <v>0</v>
      </c>
      <c r="AE60" s="1366">
        <f>1-AD60</f>
        <v>1</v>
      </c>
      <c r="AG60" s="623">
        <f>((W60/W58)*AI58)</f>
        <v>0</v>
      </c>
      <c r="AH60" s="18">
        <f>IF(ISTEXT(S60),S60,IF(ISBLANK(S60),0,(S60/W58)*AI58))</f>
        <v>0</v>
      </c>
      <c r="AI60" s="17">
        <f t="shared" ref="AI60:AI89" si="15">T60</f>
        <v>0</v>
      </c>
      <c r="AJ60" s="1413">
        <f t="shared" ref="AJ60:AJ89" si="16">AK60*AE60</f>
        <v>0</v>
      </c>
      <c r="AK60" s="646">
        <f>(W60/W58)*AM58</f>
        <v>0</v>
      </c>
      <c r="AL60" s="18">
        <f>IF(ISBLANK(S60),0,(S60/W58)*AM58)</f>
        <v>0</v>
      </c>
      <c r="AM60" s="594">
        <f t="shared" ref="AM60:AM89" si="17">T60</f>
        <v>0</v>
      </c>
      <c r="AN60" s="646">
        <f>AK60</f>
        <v>0</v>
      </c>
      <c r="AO60" s="715">
        <f t="shared" ref="AO60:AO89" si="18">(AN60*AD60)+AN60</f>
        <v>0</v>
      </c>
      <c r="AP60" s="18">
        <f>IF(ISBLANK(S60),0,(S60/W90)*AO91)</f>
        <v>0</v>
      </c>
      <c r="AQ60" s="594">
        <f t="shared" ref="AQ60:AQ89" si="19">T60</f>
        <v>0</v>
      </c>
      <c r="AR60" s="649" t="s">
        <v>588</v>
      </c>
      <c r="AS60" s="648" t="s">
        <v>589</v>
      </c>
      <c r="AT60" s="648" t="s">
        <v>587</v>
      </c>
      <c r="AU60" s="648">
        <v>3</v>
      </c>
    </row>
    <row r="61" spans="1:47" ht="18.95" customHeight="1">
      <c r="A61" s="2454"/>
      <c r="B61" s="1437">
        <f>IF(D57=1,AH61,IF(D57=2,AL61,IF(D57=3,AP61,IF(D57=4,AT61))))</f>
        <v>0</v>
      </c>
      <c r="C61" s="1438">
        <f>IF(D57=1,AI61,IF(D57=2,AM61,IF(D57=3,AQ61,IF(D57=4,AU61))))</f>
        <v>0</v>
      </c>
      <c r="D61" s="1439">
        <f>IF(D57=1,AG61,IF(D57=2,AK61,IF(D57=3,AO61,IF(D57=4,AS61))))</f>
        <v>0</v>
      </c>
      <c r="E61" s="1440" t="str">
        <f>IF(D57=1,"",IF(D61=F61,"",AD61))</f>
        <v/>
      </c>
      <c r="F61" s="1441" t="str">
        <f>IF(D57=1,"",IF(D57=2,AJ61,IF(D57=3,AN61,IF(D57=4,AR61))))</f>
        <v/>
      </c>
      <c r="G61" s="22">
        <f t="shared" si="13"/>
        <v>0</v>
      </c>
      <c r="H61" s="22"/>
      <c r="I61" s="2545"/>
      <c r="J61" s="9">
        <v>1</v>
      </c>
      <c r="K61" s="15" t="s">
        <v>440</v>
      </c>
      <c r="L61" s="15"/>
      <c r="M61" s="15"/>
      <c r="N61" s="15"/>
      <c r="O61" s="15"/>
      <c r="P61" s="15"/>
      <c r="Q61" s="2542"/>
      <c r="S61" s="1283"/>
      <c r="T61" s="1282"/>
      <c r="U61" s="1284"/>
      <c r="V61" s="19"/>
      <c r="W61" s="626">
        <f t="shared" si="14"/>
        <v>0</v>
      </c>
      <c r="X61" s="331">
        <f>(W61/W90)*X58</f>
        <v>0</v>
      </c>
      <c r="Y61" s="18" t="str">
        <f>IF(ISBLANK(S61),"",(S61/W90)*X58)</f>
        <v/>
      </c>
      <c r="Z61" s="594">
        <f>T61</f>
        <v>0</v>
      </c>
      <c r="AA61" s="1365">
        <f>W61/W90</f>
        <v>0</v>
      </c>
      <c r="AB61" s="630"/>
      <c r="AC61" s="624">
        <f>AB58</f>
        <v>0</v>
      </c>
      <c r="AD61" s="624">
        <f t="shared" ref="AD61:AD89" si="20">AB61+AC61</f>
        <v>0</v>
      </c>
      <c r="AE61" s="1366">
        <f t="shared" ref="AE61:AE89" si="21">1-AD61</f>
        <v>1</v>
      </c>
      <c r="AG61" s="623">
        <f>((W61/W58)*AI58)</f>
        <v>0</v>
      </c>
      <c r="AH61" s="18">
        <f>IF(ISTEXT(S61),S61,IF(ISBLANK(S61),0,(S61/W58)*AI58))</f>
        <v>0</v>
      </c>
      <c r="AI61" s="17">
        <f t="shared" si="15"/>
        <v>0</v>
      </c>
      <c r="AJ61" s="1413">
        <f t="shared" si="16"/>
        <v>0</v>
      </c>
      <c r="AK61" s="646">
        <f>(W61/W58)*AM58</f>
        <v>0</v>
      </c>
      <c r="AL61" s="18">
        <f>IF(ISBLANK(S61),0,(S61/W58)*AM58)</f>
        <v>0</v>
      </c>
      <c r="AM61" s="594">
        <f t="shared" si="17"/>
        <v>0</v>
      </c>
      <c r="AN61" s="646">
        <f>AK61</f>
        <v>0</v>
      </c>
      <c r="AO61" s="715">
        <f t="shared" si="18"/>
        <v>0</v>
      </c>
      <c r="AP61" s="18">
        <f>IF(ISBLANK(S61),0,(S61/W90)*AO91)</f>
        <v>0</v>
      </c>
      <c r="AQ61" s="594">
        <f t="shared" si="19"/>
        <v>0</v>
      </c>
      <c r="AR61" s="649" t="s">
        <v>588</v>
      </c>
      <c r="AS61" s="648" t="s">
        <v>589</v>
      </c>
      <c r="AT61" s="648" t="s">
        <v>587</v>
      </c>
      <c r="AU61" s="648">
        <v>3</v>
      </c>
    </row>
    <row r="62" spans="1:47" ht="18.95" customHeight="1">
      <c r="A62" s="2454"/>
      <c r="B62" s="1437">
        <f>IF(D57=1,AH62,IF(D57=2,AL62,IF(D57=3,AP62,IF(D57=4,AT62))))</f>
        <v>50</v>
      </c>
      <c r="C62" s="1438" t="str">
        <f>IF(D57=1,AI62,IF(D57=2,AM62,IF(D57=3,AQ62,IF(D57=4,AU62))))</f>
        <v>boudins</v>
      </c>
      <c r="D62" s="1439">
        <f>IF(D57=1,AG62,IF(D57=2,AK62,IF(D57=3,AO62,IF(D57=4,AS62))))</f>
        <v>6250</v>
      </c>
      <c r="E62" s="1440" t="str">
        <f>IF(D57=1,"",IF(D62=F62,"",AD62))</f>
        <v/>
      </c>
      <c r="F62" s="1441" t="str">
        <f>IF(D57=1,"",IF(D57=2,AJ62,IF(D57=3,AN62,IF(D57=4,AR62))))</f>
        <v/>
      </c>
      <c r="G62" s="22" t="str">
        <f t="shared" si="13"/>
        <v>4 boudins blancs truffés</v>
      </c>
      <c r="H62" s="22"/>
      <c r="I62" s="2545"/>
      <c r="J62" s="9">
        <v>2</v>
      </c>
      <c r="K62" s="15" t="s">
        <v>441</v>
      </c>
      <c r="L62" s="15"/>
      <c r="M62" s="15"/>
      <c r="N62" s="15"/>
      <c r="O62" s="15"/>
      <c r="P62" s="15"/>
      <c r="Q62" s="2542"/>
      <c r="S62" s="1283">
        <v>4</v>
      </c>
      <c r="T62" s="1282" t="s">
        <v>443</v>
      </c>
      <c r="U62" s="1284">
        <v>125</v>
      </c>
      <c r="V62" s="19" t="s">
        <v>444</v>
      </c>
      <c r="W62" s="626">
        <f t="shared" si="14"/>
        <v>500</v>
      </c>
      <c r="X62" s="331">
        <f>(W62/W90)*X58</f>
        <v>617.28395061728395</v>
      </c>
      <c r="Y62" s="18">
        <f>IF(ISBLANK(S62),"",(S62/W90)*X58)</f>
        <v>4.9382716049382713</v>
      </c>
      <c r="Z62" s="594" t="str">
        <f>T62</f>
        <v>boudins</v>
      </c>
      <c r="AA62" s="1365">
        <f>W62/W90</f>
        <v>0.61728395061728392</v>
      </c>
      <c r="AB62" s="630"/>
      <c r="AC62" s="624">
        <f>AB58</f>
        <v>0</v>
      </c>
      <c r="AD62" s="624">
        <f t="shared" si="20"/>
        <v>0</v>
      </c>
      <c r="AE62" s="1366">
        <f t="shared" si="21"/>
        <v>1</v>
      </c>
      <c r="AG62" s="623">
        <f>((W62/W58)*AI58)</f>
        <v>6250</v>
      </c>
      <c r="AH62" s="18">
        <f>IF(ISTEXT(S62),S62,IF(ISBLANK(S62),0,(S62/W58)*AI58))</f>
        <v>50</v>
      </c>
      <c r="AI62" s="17" t="str">
        <f t="shared" si="15"/>
        <v>boudins</v>
      </c>
      <c r="AJ62" s="1413">
        <f t="shared" si="16"/>
        <v>6250</v>
      </c>
      <c r="AK62" s="646">
        <f>(W62/W58)*AM58</f>
        <v>6250</v>
      </c>
      <c r="AL62" s="18">
        <f>IF(ISBLANK(S62),0,(S62/W58)*AM58)</f>
        <v>50</v>
      </c>
      <c r="AM62" s="594" t="str">
        <f t="shared" si="17"/>
        <v>boudins</v>
      </c>
      <c r="AN62" s="646">
        <f t="shared" ref="AN62:AN89" si="22">AK62</f>
        <v>6250</v>
      </c>
      <c r="AO62" s="715">
        <f t="shared" si="18"/>
        <v>6250</v>
      </c>
      <c r="AP62" s="18">
        <f>IF(ISBLANK(S62),0,(S62/W90)*AO91)</f>
        <v>50</v>
      </c>
      <c r="AQ62" s="594" t="str">
        <f t="shared" si="19"/>
        <v>boudins</v>
      </c>
      <c r="AR62" s="649" t="s">
        <v>588</v>
      </c>
      <c r="AS62" s="648" t="s">
        <v>589</v>
      </c>
      <c r="AT62" s="648" t="s">
        <v>587</v>
      </c>
      <c r="AU62" s="648">
        <v>3</v>
      </c>
    </row>
    <row r="63" spans="1:47" ht="18.95" customHeight="1">
      <c r="A63" s="2454"/>
      <c r="B63" s="1437">
        <f>IF(D57=1,AH63,IF(D57=2,AL63,IF(D57=3,AP63,IF(D57=4,AT63))))</f>
        <v>0</v>
      </c>
      <c r="C63" s="1438">
        <f>IF(D57=1,AI63,IF(D57=2,AM63,IF(D57=3,AQ63,IF(D57=4,AU63))))</f>
        <v>0</v>
      </c>
      <c r="D63" s="1439">
        <f>IF(D57=1,AG63,IF(D57=2,AK63,IF(D57=3,AO63,IF(D57=4,AS63))))</f>
        <v>0</v>
      </c>
      <c r="E63" s="1440" t="str">
        <f>IF(D57=1,"",IF(D63=F63,"",AD63))</f>
        <v/>
      </c>
      <c r="F63" s="1441" t="str">
        <f>IF(D57=1,"",IF(D57=2,AJ63,IF(D57=3,AN63,IF(D57=4,AR63))))</f>
        <v/>
      </c>
      <c r="G63" s="22">
        <f t="shared" si="13"/>
        <v>0</v>
      </c>
      <c r="H63" s="22"/>
      <c r="I63" s="2545"/>
      <c r="J63" s="9">
        <v>3</v>
      </c>
      <c r="K63" s="15" t="s">
        <v>442</v>
      </c>
      <c r="L63" s="15"/>
      <c r="M63" s="15"/>
      <c r="N63" s="15"/>
      <c r="O63" s="15"/>
      <c r="P63" s="15"/>
      <c r="Q63" s="2542"/>
      <c r="S63" s="1283"/>
      <c r="T63" s="1282"/>
      <c r="U63" s="1284"/>
      <c r="V63" s="19"/>
      <c r="W63" s="626">
        <f t="shared" si="14"/>
        <v>0</v>
      </c>
      <c r="X63" s="331">
        <f>(W63/W90)*X58</f>
        <v>0</v>
      </c>
      <c r="Y63" s="18" t="str">
        <f>IF(ISBLANK(S63),"",(S63/W90)*X58)</f>
        <v/>
      </c>
      <c r="Z63" s="594">
        <f t="shared" ref="Z63:Z89" si="23">T63</f>
        <v>0</v>
      </c>
      <c r="AA63" s="1365">
        <f>W63/W90</f>
        <v>0</v>
      </c>
      <c r="AB63" s="630"/>
      <c r="AC63" s="624">
        <f>AB58</f>
        <v>0</v>
      </c>
      <c r="AD63" s="624">
        <f t="shared" si="20"/>
        <v>0</v>
      </c>
      <c r="AE63" s="1366">
        <f t="shared" si="21"/>
        <v>1</v>
      </c>
      <c r="AG63" s="623">
        <f>((W63/W58)*AI58)</f>
        <v>0</v>
      </c>
      <c r="AH63" s="18">
        <f>IF(ISTEXT(S63),S63,IF(ISBLANK(S63),0,(S63/W58)*AI58))</f>
        <v>0</v>
      </c>
      <c r="AI63" s="17">
        <f t="shared" si="15"/>
        <v>0</v>
      </c>
      <c r="AJ63" s="1413">
        <f t="shared" si="16"/>
        <v>0</v>
      </c>
      <c r="AK63" s="646">
        <f>(W63/W58)*AM58</f>
        <v>0</v>
      </c>
      <c r="AL63" s="18">
        <f>IF(ISBLANK(S63),0,(S63/W58)*AM58)</f>
        <v>0</v>
      </c>
      <c r="AM63" s="594">
        <f t="shared" si="17"/>
        <v>0</v>
      </c>
      <c r="AN63" s="646">
        <f t="shared" si="22"/>
        <v>0</v>
      </c>
      <c r="AO63" s="715">
        <f t="shared" si="18"/>
        <v>0</v>
      </c>
      <c r="AP63" s="18">
        <f>IF(ISBLANK(S63),0,(S63/W90)*AO91)</f>
        <v>0</v>
      </c>
      <c r="AQ63" s="594">
        <f t="shared" si="19"/>
        <v>0</v>
      </c>
      <c r="AR63" s="649" t="s">
        <v>588</v>
      </c>
      <c r="AS63" s="648" t="s">
        <v>589</v>
      </c>
      <c r="AT63" s="648" t="s">
        <v>587</v>
      </c>
      <c r="AU63" s="648">
        <v>3</v>
      </c>
    </row>
    <row r="64" spans="1:47" ht="18.95" customHeight="1">
      <c r="A64" s="2454"/>
      <c r="B64" s="1437">
        <f>IF(D57=1,AH64,IF(D57=2,AL64,IF(D57=3,AP64,IF(D57=4,AT64))))</f>
        <v>0</v>
      </c>
      <c r="C64" s="1438">
        <f>IF(D57=1,AI64,IF(D57=2,AM64,IF(D57=3,AQ64,IF(D57=4,AU64))))</f>
        <v>0</v>
      </c>
      <c r="D64" s="1439">
        <f>IF(D57=1,AG64,IF(D57=2,AK64,IF(D57=3,AO64,IF(D57=4,AS64))))</f>
        <v>750</v>
      </c>
      <c r="E64" s="1440" t="str">
        <f>IF(D57=1,"",IF(D64=F64,"",AD64))</f>
        <v/>
      </c>
      <c r="F64" s="1441" t="str">
        <f>IF(D57=1,"",IF(D57=2,AJ64,IF(D57=3,AN64,IF(D57=4,AR64))))</f>
        <v/>
      </c>
      <c r="G64" s="22" t="str">
        <f t="shared" si="13"/>
        <v>60 g de foie gras cuit</v>
      </c>
      <c r="H64" s="22"/>
      <c r="I64" s="2545"/>
      <c r="J64" s="9">
        <v>4</v>
      </c>
      <c r="K64" s="15" t="s">
        <v>445</v>
      </c>
      <c r="L64" s="15"/>
      <c r="M64" s="15"/>
      <c r="N64" s="15"/>
      <c r="O64" s="15"/>
      <c r="P64" s="15"/>
      <c r="Q64" s="2542"/>
      <c r="S64" s="1283"/>
      <c r="T64" s="1282"/>
      <c r="U64" s="1284">
        <v>60</v>
      </c>
      <c r="V64" s="19" t="s">
        <v>447</v>
      </c>
      <c r="W64" s="626">
        <f t="shared" si="14"/>
        <v>60</v>
      </c>
      <c r="X64" s="331">
        <f>(W64/W90)*X58</f>
        <v>74.074074074074076</v>
      </c>
      <c r="Y64" s="18" t="str">
        <f>IF(ISBLANK(S64),"",(S64/W90)*X58)</f>
        <v/>
      </c>
      <c r="Z64" s="594">
        <f t="shared" si="23"/>
        <v>0</v>
      </c>
      <c r="AA64" s="1365">
        <f>W64/W90</f>
        <v>7.407407407407407E-2</v>
      </c>
      <c r="AB64" s="630"/>
      <c r="AC64" s="624">
        <f>AB58</f>
        <v>0</v>
      </c>
      <c r="AD64" s="624">
        <f t="shared" si="20"/>
        <v>0</v>
      </c>
      <c r="AE64" s="1366">
        <f t="shared" si="21"/>
        <v>1</v>
      </c>
      <c r="AG64" s="623">
        <f>((W64/W58)*AI58)</f>
        <v>750</v>
      </c>
      <c r="AH64" s="18">
        <f>IF(ISTEXT(S64),S64,IF(ISBLANK(S64),0,(S64/W58)*AI58))</f>
        <v>0</v>
      </c>
      <c r="AI64" s="17">
        <f t="shared" si="15"/>
        <v>0</v>
      </c>
      <c r="AJ64" s="1413">
        <f t="shared" si="16"/>
        <v>750</v>
      </c>
      <c r="AK64" s="646">
        <f>(W64/W58)*AM58</f>
        <v>750</v>
      </c>
      <c r="AL64" s="18">
        <f>IF(ISBLANK(S64),0,(S64/W58)*AM58)</f>
        <v>0</v>
      </c>
      <c r="AM64" s="594">
        <f t="shared" si="17"/>
        <v>0</v>
      </c>
      <c r="AN64" s="646">
        <f t="shared" si="22"/>
        <v>750</v>
      </c>
      <c r="AO64" s="715">
        <f t="shared" si="18"/>
        <v>750</v>
      </c>
      <c r="AP64" s="18">
        <f>IF(ISBLANK(S64),0,(S64/W90)*AO91)</f>
        <v>0</v>
      </c>
      <c r="AQ64" s="594">
        <f t="shared" si="19"/>
        <v>0</v>
      </c>
      <c r="AR64" s="649" t="s">
        <v>588</v>
      </c>
      <c r="AS64" s="648" t="s">
        <v>589</v>
      </c>
      <c r="AT64" s="648" t="s">
        <v>587</v>
      </c>
      <c r="AU64" s="648">
        <v>3</v>
      </c>
    </row>
    <row r="65" spans="1:47" ht="18.95" customHeight="1">
      <c r="A65" s="2454"/>
      <c r="B65" s="1437">
        <f>IF(D57=1,AH65,IF(D57=2,AL65,IF(D57=3,AP65,IF(D57=4,AT65))))</f>
        <v>50</v>
      </c>
      <c r="C65" s="1438" t="str">
        <f>IF(D57=1,AI65,IF(D57=2,AM65,IF(D57=3,AQ65,IF(D57=4,AU65))))</f>
        <v>pommes</v>
      </c>
      <c r="D65" s="1439">
        <f>IF(D57=1,AG65,IF(D57=2,AK65,IF(D57=3,AO65,IF(D57=4,AS65))))</f>
        <v>0</v>
      </c>
      <c r="E65" s="1440" t="str">
        <f>IF(D57=1,"",IF(D65=F65,"",AD65))</f>
        <v/>
      </c>
      <c r="F65" s="1441" t="str">
        <f>IF(D57=1,"",IF(D57=2,AJ65,IF(D57=3,AN65,IF(D57=4,AR65))))</f>
        <v/>
      </c>
      <c r="G65" s="22" t="str">
        <f t="shared" si="13"/>
        <v>4 pommes reine des reinettes</v>
      </c>
      <c r="H65" s="22"/>
      <c r="I65" s="2545"/>
      <c r="J65" s="9">
        <v>5</v>
      </c>
      <c r="K65" s="15" t="s">
        <v>446</v>
      </c>
      <c r="L65" s="15"/>
      <c r="M65" s="15"/>
      <c r="N65" s="15"/>
      <c r="O65" s="15"/>
      <c r="P65" s="15"/>
      <c r="Q65" s="2542"/>
      <c r="S65" s="1283">
        <v>4</v>
      </c>
      <c r="T65" s="1282" t="s">
        <v>59</v>
      </c>
      <c r="U65" s="1284"/>
      <c r="V65" s="19" t="s">
        <v>449</v>
      </c>
      <c r="W65" s="626">
        <f t="shared" si="14"/>
        <v>0</v>
      </c>
      <c r="X65" s="331">
        <f>(W65/W90)*X58</f>
        <v>0</v>
      </c>
      <c r="Y65" s="18">
        <f>IF(ISBLANK(S65),"",(S65/W90)*X58)</f>
        <v>4.9382716049382713</v>
      </c>
      <c r="Z65" s="594" t="str">
        <f t="shared" si="23"/>
        <v>pommes</v>
      </c>
      <c r="AA65" s="1365">
        <f>W65/W90</f>
        <v>0</v>
      </c>
      <c r="AB65" s="630"/>
      <c r="AC65" s="624">
        <f>AB58</f>
        <v>0</v>
      </c>
      <c r="AD65" s="624">
        <f t="shared" si="20"/>
        <v>0</v>
      </c>
      <c r="AE65" s="1366">
        <f t="shared" si="21"/>
        <v>1</v>
      </c>
      <c r="AG65" s="623">
        <f>((W65/W58)*AI58)</f>
        <v>0</v>
      </c>
      <c r="AH65" s="18">
        <f>IF(ISTEXT(S65),S65,IF(ISBLANK(S65),0,(S65/W58)*AI58))</f>
        <v>50</v>
      </c>
      <c r="AI65" s="17" t="str">
        <f t="shared" si="15"/>
        <v>pommes</v>
      </c>
      <c r="AJ65" s="1413">
        <f t="shared" si="16"/>
        <v>0</v>
      </c>
      <c r="AK65" s="646">
        <f>(W65/W58)*AM58</f>
        <v>0</v>
      </c>
      <c r="AL65" s="18">
        <f>IF(ISBLANK(S65),0,(S65/W58)*AM58)</f>
        <v>50</v>
      </c>
      <c r="AM65" s="594" t="str">
        <f t="shared" si="17"/>
        <v>pommes</v>
      </c>
      <c r="AN65" s="646">
        <f t="shared" si="22"/>
        <v>0</v>
      </c>
      <c r="AO65" s="715">
        <f t="shared" si="18"/>
        <v>0</v>
      </c>
      <c r="AP65" s="18">
        <f>IF(ISBLANK(S65),0,(S65/W90)*AO91)</f>
        <v>50</v>
      </c>
      <c r="AQ65" s="594" t="str">
        <f t="shared" si="19"/>
        <v>pommes</v>
      </c>
      <c r="AR65" s="649" t="s">
        <v>588</v>
      </c>
      <c r="AS65" s="648" t="s">
        <v>589</v>
      </c>
      <c r="AT65" s="648" t="s">
        <v>587</v>
      </c>
      <c r="AU65" s="648">
        <v>3</v>
      </c>
    </row>
    <row r="66" spans="1:47" ht="18.95" customHeight="1">
      <c r="A66" s="2454"/>
      <c r="B66" s="1437">
        <f>IF(D57=1,AH66,IF(D57=2,AL66,IF(D57=3,AP66,IF(D57=4,AT66))))</f>
        <v>0</v>
      </c>
      <c r="C66" s="1438">
        <f>IF(D57=1,AI66,IF(D57=2,AM66,IF(D57=3,AQ66,IF(D57=4,AU66))))</f>
        <v>0</v>
      </c>
      <c r="D66" s="1439">
        <f>IF(D57=1,AG66,IF(D57=2,AK66,IF(D57=3,AO66,IF(D57=4,AS66))))</f>
        <v>625</v>
      </c>
      <c r="E66" s="1440" t="str">
        <f>IF(D57=1,"",IF(D66=F66,"",AD66))</f>
        <v/>
      </c>
      <c r="F66" s="1441" t="str">
        <f>IF(D57=1,"",IF(D57=2,AJ66,IF(D57=3,AN66,IF(D57=4,AR66))))</f>
        <v/>
      </c>
      <c r="G66" s="22" t="str">
        <f t="shared" si="13"/>
        <v>50 g de beurre</v>
      </c>
      <c r="H66" s="22"/>
      <c r="I66" s="2545"/>
      <c r="J66" s="9">
        <v>6</v>
      </c>
      <c r="K66" s="15" t="s">
        <v>448</v>
      </c>
      <c r="L66" s="15"/>
      <c r="M66" s="15"/>
      <c r="N66" s="15"/>
      <c r="O66" s="15"/>
      <c r="P66" s="15"/>
      <c r="Q66" s="2542"/>
      <c r="S66" s="1283"/>
      <c r="T66" s="1282"/>
      <c r="U66" s="1284">
        <v>50</v>
      </c>
      <c r="V66" s="19" t="s">
        <v>427</v>
      </c>
      <c r="W66" s="626">
        <f t="shared" si="14"/>
        <v>50</v>
      </c>
      <c r="X66" s="331">
        <f>(W66/W90)*X58</f>
        <v>61.728395061728392</v>
      </c>
      <c r="Y66" s="18" t="str">
        <f>IF(ISBLANK(S66),"",(S66/W90)*X58)</f>
        <v/>
      </c>
      <c r="Z66" s="594">
        <f t="shared" si="23"/>
        <v>0</v>
      </c>
      <c r="AA66" s="1365">
        <f>W66/W90</f>
        <v>6.1728395061728392E-2</v>
      </c>
      <c r="AB66" s="630"/>
      <c r="AC66" s="624">
        <f>AB58</f>
        <v>0</v>
      </c>
      <c r="AD66" s="624">
        <f t="shared" si="20"/>
        <v>0</v>
      </c>
      <c r="AE66" s="1366">
        <f t="shared" si="21"/>
        <v>1</v>
      </c>
      <c r="AG66" s="623">
        <f>((W66/W58)*AI58)</f>
        <v>625</v>
      </c>
      <c r="AH66" s="18">
        <f>IF(ISTEXT(S66),S66,IF(ISBLANK(S66),0,(S66/W58)*AI58))</f>
        <v>0</v>
      </c>
      <c r="AI66" s="17">
        <f t="shared" si="15"/>
        <v>0</v>
      </c>
      <c r="AJ66" s="1413">
        <f t="shared" si="16"/>
        <v>625</v>
      </c>
      <c r="AK66" s="646">
        <f>(W66/W58)*AM58</f>
        <v>625</v>
      </c>
      <c r="AL66" s="18">
        <f>IF(ISBLANK(S66),0,(S66/W58)*AM58)</f>
        <v>0</v>
      </c>
      <c r="AM66" s="594">
        <f t="shared" si="17"/>
        <v>0</v>
      </c>
      <c r="AN66" s="646">
        <f t="shared" si="22"/>
        <v>625</v>
      </c>
      <c r="AO66" s="715">
        <f t="shared" si="18"/>
        <v>625</v>
      </c>
      <c r="AP66" s="18">
        <f>IF(ISBLANK(S66),0,(S66/W90)*AO91)</f>
        <v>0</v>
      </c>
      <c r="AQ66" s="594">
        <f t="shared" si="19"/>
        <v>0</v>
      </c>
      <c r="AR66" s="649" t="s">
        <v>588</v>
      </c>
      <c r="AS66" s="648" t="s">
        <v>589</v>
      </c>
      <c r="AT66" s="648" t="s">
        <v>587</v>
      </c>
      <c r="AU66" s="648">
        <v>3</v>
      </c>
    </row>
    <row r="67" spans="1:47" ht="18.95" customHeight="1">
      <c r="A67" s="2454"/>
      <c r="B67" s="1437">
        <f>IF(D57=1,AH67,IF(D57=2,AL67,IF(D57=3,AP67,IF(D57=4,AT67))))</f>
        <v>12.5</v>
      </c>
      <c r="C67" s="1438" t="str">
        <f>IF(D57=1,AI67,IF(D57=2,AM67,IF(D57=3,AQ67,IF(D57=4,AU67))))</f>
        <v>C/C</v>
      </c>
      <c r="D67" s="1439">
        <f>IF(D57=1,AG67,IF(D57=2,AK67,IF(D57=3,AO67,IF(D57=4,AS67))))</f>
        <v>0</v>
      </c>
      <c r="E67" s="1440" t="str">
        <f>IF(D57=1,"",IF(D67=F67,"",AD67))</f>
        <v/>
      </c>
      <c r="F67" s="1441" t="str">
        <f>IF(D57=1,"",IF(D57=2,AJ67,IF(D57=3,AN67,IF(D57=4,AR67))))</f>
        <v/>
      </c>
      <c r="G67" s="22" t="str">
        <f t="shared" si="13"/>
        <v>1 cuillère à café de moutarde</v>
      </c>
      <c r="H67" s="22"/>
      <c r="I67" s="2545"/>
      <c r="J67" s="9">
        <v>7</v>
      </c>
      <c r="K67" s="15" t="s">
        <v>450</v>
      </c>
      <c r="L67" s="15"/>
      <c r="M67" s="15"/>
      <c r="N67" s="15"/>
      <c r="O67" s="15"/>
      <c r="P67" s="15"/>
      <c r="Q67" s="2542"/>
      <c r="S67" s="1283">
        <v>1</v>
      </c>
      <c r="T67" s="1282" t="s">
        <v>125</v>
      </c>
      <c r="U67" s="1284"/>
      <c r="V67" s="19" t="s">
        <v>452</v>
      </c>
      <c r="W67" s="626">
        <f t="shared" si="14"/>
        <v>0</v>
      </c>
      <c r="X67" s="331">
        <f>(W67/W90)*X58</f>
        <v>0</v>
      </c>
      <c r="Y67" s="18">
        <f>IF(ISBLANK(S67),"",(S67/W90)*X58)</f>
        <v>1.2345679012345678</v>
      </c>
      <c r="Z67" s="594" t="str">
        <f t="shared" si="23"/>
        <v>C/C</v>
      </c>
      <c r="AA67" s="1365">
        <f>W67/W90</f>
        <v>0</v>
      </c>
      <c r="AB67" s="630"/>
      <c r="AC67" s="624">
        <f>AB58</f>
        <v>0</v>
      </c>
      <c r="AD67" s="624">
        <f t="shared" si="20"/>
        <v>0</v>
      </c>
      <c r="AE67" s="1366">
        <f t="shared" si="21"/>
        <v>1</v>
      </c>
      <c r="AG67" s="623">
        <f>((W67/W58)*AI58)</f>
        <v>0</v>
      </c>
      <c r="AH67" s="18">
        <f>IF(ISTEXT(S67),S67,IF(ISBLANK(S67),0,(S67/W58)*AI58))</f>
        <v>12.5</v>
      </c>
      <c r="AI67" s="17" t="str">
        <f t="shared" si="15"/>
        <v>C/C</v>
      </c>
      <c r="AJ67" s="1413">
        <f t="shared" si="16"/>
        <v>0</v>
      </c>
      <c r="AK67" s="646">
        <f>(W67/W58)*AM58</f>
        <v>0</v>
      </c>
      <c r="AL67" s="18">
        <f>IF(ISBLANK(S67),0,(S67/W58)*AM58)</f>
        <v>12.5</v>
      </c>
      <c r="AM67" s="594" t="str">
        <f t="shared" si="17"/>
        <v>C/C</v>
      </c>
      <c r="AN67" s="646">
        <f t="shared" si="22"/>
        <v>0</v>
      </c>
      <c r="AO67" s="715">
        <f t="shared" si="18"/>
        <v>0</v>
      </c>
      <c r="AP67" s="18">
        <f>IF(ISBLANK(S67),0,(S67/W90)*AO91)</f>
        <v>12.5</v>
      </c>
      <c r="AQ67" s="594" t="str">
        <f t="shared" si="19"/>
        <v>C/C</v>
      </c>
      <c r="AR67" s="649" t="s">
        <v>588</v>
      </c>
      <c r="AS67" s="648" t="s">
        <v>589</v>
      </c>
      <c r="AT67" s="648" t="s">
        <v>587</v>
      </c>
      <c r="AU67" s="648">
        <v>3</v>
      </c>
    </row>
    <row r="68" spans="1:47" ht="18.95" customHeight="1">
      <c r="A68" s="2454"/>
      <c r="B68" s="1437">
        <f>IF(D57=1,AH68,IF(D57=2,AL68,IF(D57=3,AP68,IF(D57=4,AT68))))</f>
        <v>25</v>
      </c>
      <c r="C68" s="1438" t="str">
        <f>IF(D57=1,AI68,IF(D57=2,AM68,IF(D57=3,AQ68,IF(D57=4,AU68))))</f>
        <v>C/S</v>
      </c>
      <c r="D68" s="1439">
        <f>IF(D57=1,AG68,IF(D57=2,AK68,IF(D57=3,AO68,IF(D57=4,AS68))))</f>
        <v>0</v>
      </c>
      <c r="E68" s="1440" t="str">
        <f>IF(D57=1,"",IF(D68=F68,"",AD68))</f>
        <v/>
      </c>
      <c r="F68" s="1441" t="str">
        <f>IF(D57=1,"",IF(D57=2,AJ68,IF(D57=3,AN68,IF(D57=4,AR68))))</f>
        <v/>
      </c>
      <c r="G68" s="22" t="str">
        <f t="shared" si="13"/>
        <v>2 cuillère à soupe de calvados</v>
      </c>
      <c r="H68" s="22"/>
      <c r="I68" s="2545"/>
      <c r="J68" s="9">
        <v>8</v>
      </c>
      <c r="K68" s="15" t="s">
        <v>451</v>
      </c>
      <c r="L68" s="15"/>
      <c r="M68" s="15"/>
      <c r="N68" s="15"/>
      <c r="O68" s="15"/>
      <c r="P68" s="15"/>
      <c r="Q68" s="2542"/>
      <c r="S68" s="1283">
        <v>2</v>
      </c>
      <c r="T68" s="1282" t="s">
        <v>454</v>
      </c>
      <c r="U68" s="1284"/>
      <c r="V68" s="19" t="s">
        <v>455</v>
      </c>
      <c r="W68" s="626">
        <f t="shared" si="14"/>
        <v>0</v>
      </c>
      <c r="X68" s="331">
        <f>(W68/W90)*X58</f>
        <v>0</v>
      </c>
      <c r="Y68" s="18">
        <f>IF(ISBLANK(S68),"",(S68/W90)*X58)</f>
        <v>2.4691358024691357</v>
      </c>
      <c r="Z68" s="594" t="str">
        <f t="shared" si="23"/>
        <v>C/S</v>
      </c>
      <c r="AA68" s="1365">
        <f>W68/W90</f>
        <v>0</v>
      </c>
      <c r="AB68" s="630"/>
      <c r="AC68" s="624">
        <f>AB58</f>
        <v>0</v>
      </c>
      <c r="AD68" s="624">
        <f t="shared" si="20"/>
        <v>0</v>
      </c>
      <c r="AE68" s="1366">
        <f t="shared" si="21"/>
        <v>1</v>
      </c>
      <c r="AG68" s="623">
        <f>((W68/W58)*AI58)</f>
        <v>0</v>
      </c>
      <c r="AH68" s="18">
        <f>IF(ISTEXT(S68),S68,IF(ISBLANK(S68),0,(S68/W58)*AI58))</f>
        <v>25</v>
      </c>
      <c r="AI68" s="17" t="str">
        <f t="shared" si="15"/>
        <v>C/S</v>
      </c>
      <c r="AJ68" s="1413">
        <f t="shared" si="16"/>
        <v>0</v>
      </c>
      <c r="AK68" s="646">
        <f>(W68/W58)*AM58</f>
        <v>0</v>
      </c>
      <c r="AL68" s="18">
        <f>IF(ISBLANK(S68),0,(S68/W58)*AM58)</f>
        <v>25</v>
      </c>
      <c r="AM68" s="594" t="str">
        <f t="shared" si="17"/>
        <v>C/S</v>
      </c>
      <c r="AN68" s="646">
        <f t="shared" si="22"/>
        <v>0</v>
      </c>
      <c r="AO68" s="715">
        <f t="shared" si="18"/>
        <v>0</v>
      </c>
      <c r="AP68" s="18">
        <f>IF(ISBLANK(S68),0,(S68/W90)*AO91)</f>
        <v>25</v>
      </c>
      <c r="AQ68" s="594" t="str">
        <f t="shared" si="19"/>
        <v>C/S</v>
      </c>
      <c r="AR68" s="649" t="s">
        <v>588</v>
      </c>
      <c r="AS68" s="648" t="s">
        <v>589</v>
      </c>
      <c r="AT68" s="648" t="s">
        <v>587</v>
      </c>
      <c r="AU68" s="648">
        <v>3</v>
      </c>
    </row>
    <row r="69" spans="1:47" ht="18.95" customHeight="1">
      <c r="A69" s="2454"/>
      <c r="B69" s="1437">
        <f>IF(D57=1,AH69,IF(D57=2,AL69,IF(D57=3,AP69,IF(D57=4,AT69))))</f>
        <v>0</v>
      </c>
      <c r="C69" s="1438">
        <f>IF(D57=1,AI69,IF(D57=2,AM69,IF(D57=3,AQ69,IF(D57=4,AU69))))</f>
        <v>0</v>
      </c>
      <c r="D69" s="1439">
        <f>IF(D57=1,AG69,IF(D57=2,AK69,IF(D57=3,AO69,IF(D57=4,AS69))))</f>
        <v>2500</v>
      </c>
      <c r="E69" s="1440" t="str">
        <f>IF(D57=1,"",IF(D69=F69,"",AD69))</f>
        <v/>
      </c>
      <c r="F69" s="1441" t="str">
        <f>IF(D57=1,"",IF(D57=2,AJ69,IF(D57=3,AN69,IF(D57=4,AR69))))</f>
        <v/>
      </c>
      <c r="G69" s="22" t="str">
        <f t="shared" si="13"/>
        <v>20 cl de crème liquide</v>
      </c>
      <c r="H69" s="22"/>
      <c r="I69" s="2545"/>
      <c r="J69" s="9">
        <v>9</v>
      </c>
      <c r="K69" s="15" t="s">
        <v>453</v>
      </c>
      <c r="L69" s="15"/>
      <c r="M69" s="15"/>
      <c r="N69" s="15"/>
      <c r="O69" s="15"/>
      <c r="P69" s="15"/>
      <c r="Q69" s="2542"/>
      <c r="S69" s="1283"/>
      <c r="T69" s="1282"/>
      <c r="U69" s="1284">
        <v>200</v>
      </c>
      <c r="V69" s="19" t="s">
        <v>457</v>
      </c>
      <c r="W69" s="626">
        <f t="shared" si="14"/>
        <v>200</v>
      </c>
      <c r="X69" s="331">
        <f>(W69/W90)*X58</f>
        <v>246.91358024691357</v>
      </c>
      <c r="Y69" s="18" t="str">
        <f>IF(ISBLANK(S69),"",(S69/W90)*X58)</f>
        <v/>
      </c>
      <c r="Z69" s="594">
        <f t="shared" si="23"/>
        <v>0</v>
      </c>
      <c r="AA69" s="1365">
        <f>W69/W90</f>
        <v>0.24691358024691357</v>
      </c>
      <c r="AB69" s="630"/>
      <c r="AC69" s="624">
        <f>AB58</f>
        <v>0</v>
      </c>
      <c r="AD69" s="624">
        <f t="shared" si="20"/>
        <v>0</v>
      </c>
      <c r="AE69" s="1366">
        <f t="shared" si="21"/>
        <v>1</v>
      </c>
      <c r="AG69" s="623">
        <f>((W69/W58)*AI58)</f>
        <v>2500</v>
      </c>
      <c r="AH69" s="18">
        <f>IF(ISTEXT(S69),S69,IF(ISBLANK(S69),0,(S69/W58)*AI58))</f>
        <v>0</v>
      </c>
      <c r="AI69" s="17">
        <f t="shared" si="15"/>
        <v>0</v>
      </c>
      <c r="AJ69" s="1413">
        <f t="shared" si="16"/>
        <v>2500</v>
      </c>
      <c r="AK69" s="646">
        <f>(W69/W58)*AM58</f>
        <v>2500</v>
      </c>
      <c r="AL69" s="18">
        <f>IF(ISBLANK(S69),0,(S69/W58)*AM58)</f>
        <v>0</v>
      </c>
      <c r="AM69" s="594">
        <f t="shared" si="17"/>
        <v>0</v>
      </c>
      <c r="AN69" s="646">
        <f t="shared" si="22"/>
        <v>2500</v>
      </c>
      <c r="AO69" s="715">
        <f t="shared" si="18"/>
        <v>2500</v>
      </c>
      <c r="AP69" s="18">
        <f>IF(ISBLANK(S69),0,(S69/W90)*AO91)</f>
        <v>0</v>
      </c>
      <c r="AQ69" s="594">
        <f t="shared" si="19"/>
        <v>0</v>
      </c>
      <c r="AR69" s="649" t="s">
        <v>588</v>
      </c>
      <c r="AS69" s="648" t="s">
        <v>589</v>
      </c>
      <c r="AT69" s="648" t="s">
        <v>587</v>
      </c>
      <c r="AU69" s="648">
        <v>3</v>
      </c>
    </row>
    <row r="70" spans="1:47" ht="18.95" customHeight="1">
      <c r="A70" s="2454"/>
      <c r="B70" s="1437">
        <f>IF(D57=1,AH70,IF(D57=2,AL70,IF(D57=3,AP70,IF(D57=4,AT70))))</f>
        <v>6.25</v>
      </c>
      <c r="C70" s="1438" t="str">
        <f>IF(D57=1,AI70,IF(D57=2,AM70,IF(D57=3,AQ70,IF(D57=4,AU70))))</f>
        <v>citrons</v>
      </c>
      <c r="D70" s="1439">
        <f>IF(D57=1,AG70,IF(D57=2,AK70,IF(D57=3,AO70,IF(D57=4,AS70))))</f>
        <v>0</v>
      </c>
      <c r="E70" s="1440" t="str">
        <f>IF(D57=1,"",IF(D70=F70,"",AD70))</f>
        <v/>
      </c>
      <c r="F70" s="1441" t="str">
        <f>IF(D57=1,"",IF(D57=2,AJ70,IF(D57=3,AN70,IF(D57=4,AR70))))</f>
        <v/>
      </c>
      <c r="G70" s="22" t="str">
        <f t="shared" si="13"/>
        <v>le jus d'1/2 citron</v>
      </c>
      <c r="H70" s="22"/>
      <c r="I70" s="2545"/>
      <c r="J70" s="9">
        <v>10</v>
      </c>
      <c r="K70" s="15" t="s">
        <v>456</v>
      </c>
      <c r="L70" s="15"/>
      <c r="M70" s="15"/>
      <c r="N70" s="15"/>
      <c r="O70" s="15"/>
      <c r="P70" s="15"/>
      <c r="Q70" s="2542"/>
      <c r="S70" s="1283">
        <v>0.5</v>
      </c>
      <c r="T70" s="1282" t="s">
        <v>459</v>
      </c>
      <c r="U70" s="1284"/>
      <c r="V70" s="19" t="s">
        <v>460</v>
      </c>
      <c r="W70" s="626">
        <f t="shared" si="14"/>
        <v>0</v>
      </c>
      <c r="X70" s="331">
        <f>(W70/W90)*X58</f>
        <v>0</v>
      </c>
      <c r="Y70" s="18">
        <f>IF(ISBLANK(S70),"",(S70/W90)*X58)</f>
        <v>0.61728395061728392</v>
      </c>
      <c r="Z70" s="594" t="str">
        <f t="shared" si="23"/>
        <v>citrons</v>
      </c>
      <c r="AA70" s="1365">
        <f>W70/W90</f>
        <v>0</v>
      </c>
      <c r="AB70" s="630"/>
      <c r="AC70" s="624">
        <f>AB58</f>
        <v>0</v>
      </c>
      <c r="AD70" s="624">
        <f t="shared" si="20"/>
        <v>0</v>
      </c>
      <c r="AE70" s="1366">
        <f t="shared" si="21"/>
        <v>1</v>
      </c>
      <c r="AG70" s="623">
        <f>((W70/W58)*AI58)</f>
        <v>0</v>
      </c>
      <c r="AH70" s="18">
        <f>IF(ISTEXT(S70),S70,IF(ISBLANK(S70),0,(S70/W58)*AI58))</f>
        <v>6.25</v>
      </c>
      <c r="AI70" s="17" t="str">
        <f t="shared" si="15"/>
        <v>citrons</v>
      </c>
      <c r="AJ70" s="1413">
        <f t="shared" si="16"/>
        <v>0</v>
      </c>
      <c r="AK70" s="646">
        <f>(W70/W58)*AM58</f>
        <v>0</v>
      </c>
      <c r="AL70" s="18">
        <f>IF(ISBLANK(S70),0,(S70/W58)*AM58)</f>
        <v>6.25</v>
      </c>
      <c r="AM70" s="594" t="str">
        <f t="shared" si="17"/>
        <v>citrons</v>
      </c>
      <c r="AN70" s="646">
        <f t="shared" si="22"/>
        <v>0</v>
      </c>
      <c r="AO70" s="715">
        <f t="shared" si="18"/>
        <v>0</v>
      </c>
      <c r="AP70" s="18">
        <f>IF(ISBLANK(S70),0,(S70/W90)*AO91)</f>
        <v>6.25</v>
      </c>
      <c r="AQ70" s="594" t="str">
        <f t="shared" si="19"/>
        <v>citrons</v>
      </c>
      <c r="AR70" s="649" t="s">
        <v>588</v>
      </c>
      <c r="AS70" s="648" t="s">
        <v>589</v>
      </c>
      <c r="AT70" s="648" t="s">
        <v>587</v>
      </c>
      <c r="AU70" s="648">
        <v>3</v>
      </c>
    </row>
    <row r="71" spans="1:47" ht="18.95" customHeight="1">
      <c r="A71" s="2454"/>
      <c r="B71" s="1437">
        <f>IF(D57=1,AH71,IF(D57=2,AL71,IF(D57=3,AP71,IF(D57=4,AT71))))</f>
        <v>12.5</v>
      </c>
      <c r="C71" s="1438" t="str">
        <f>IF(D57=1,AI71,IF(D57=2,AM71,IF(D57=3,AQ71,IF(D57=4,AU71))))</f>
        <v>C/S</v>
      </c>
      <c r="D71" s="1439">
        <f>IF(D57=1,AG71,IF(D57=2,AK71,IF(D57=3,AO71,IF(D57=4,AS71))))</f>
        <v>0</v>
      </c>
      <c r="E71" s="1440" t="str">
        <f>IF(D57=1,"",IF(D71=F71,"",AD71))</f>
        <v/>
      </c>
      <c r="F71" s="1441" t="str">
        <f>IF(D57=1,"",IF(D57=2,AJ71,IF(D57=3,AN71,IF(D57=4,AR71))))</f>
        <v/>
      </c>
      <c r="G71" s="22" t="str">
        <f t="shared" si="13"/>
        <v>cuillère à soupe de persil ciselé</v>
      </c>
      <c r="H71" s="22"/>
      <c r="I71" s="2545"/>
      <c r="J71" s="9">
        <v>11</v>
      </c>
      <c r="K71" s="15" t="s">
        <v>458</v>
      </c>
      <c r="L71" s="15"/>
      <c r="M71" s="15"/>
      <c r="N71" s="15"/>
      <c r="O71" s="15"/>
      <c r="P71" s="15"/>
      <c r="Q71" s="2542"/>
      <c r="S71" s="1283">
        <v>1</v>
      </c>
      <c r="T71" s="1282" t="s">
        <v>454</v>
      </c>
      <c r="U71" s="1284"/>
      <c r="V71" s="19" t="s">
        <v>462</v>
      </c>
      <c r="W71" s="626">
        <f t="shared" si="14"/>
        <v>0</v>
      </c>
      <c r="X71" s="331">
        <f>(W71/W90)*X58</f>
        <v>0</v>
      </c>
      <c r="Y71" s="18">
        <f>IF(ISBLANK(S71),"",(S71/W90)*X58)</f>
        <v>1.2345679012345678</v>
      </c>
      <c r="Z71" s="594" t="str">
        <f t="shared" si="23"/>
        <v>C/S</v>
      </c>
      <c r="AA71" s="1365">
        <f>W71/W90</f>
        <v>0</v>
      </c>
      <c r="AB71" s="630"/>
      <c r="AC71" s="624">
        <f>AB58</f>
        <v>0</v>
      </c>
      <c r="AD71" s="624">
        <f t="shared" si="20"/>
        <v>0</v>
      </c>
      <c r="AE71" s="1366">
        <f t="shared" si="21"/>
        <v>1</v>
      </c>
      <c r="AG71" s="623">
        <f>((W71/W58)*AI58)</f>
        <v>0</v>
      </c>
      <c r="AH71" s="18">
        <f>IF(ISTEXT(S71),S71,IF(ISBLANK(S71),0,(S71/W58)*AI58))</f>
        <v>12.5</v>
      </c>
      <c r="AI71" s="17" t="str">
        <f t="shared" si="15"/>
        <v>C/S</v>
      </c>
      <c r="AJ71" s="1413">
        <f t="shared" si="16"/>
        <v>0</v>
      </c>
      <c r="AK71" s="646">
        <f>(W71/W58)*AM58</f>
        <v>0</v>
      </c>
      <c r="AL71" s="18">
        <f>IF(ISBLANK(S71),0,(S71/W58)*AM58)</f>
        <v>12.5</v>
      </c>
      <c r="AM71" s="594" t="str">
        <f t="shared" si="17"/>
        <v>C/S</v>
      </c>
      <c r="AN71" s="646">
        <f t="shared" si="22"/>
        <v>0</v>
      </c>
      <c r="AO71" s="715">
        <f t="shared" si="18"/>
        <v>0</v>
      </c>
      <c r="AP71" s="18">
        <f>IF(ISBLANK(S71),0,(S71/W90)*AO91)</f>
        <v>12.5</v>
      </c>
      <c r="AQ71" s="594" t="str">
        <f t="shared" si="19"/>
        <v>C/S</v>
      </c>
      <c r="AR71" s="649" t="s">
        <v>588</v>
      </c>
      <c r="AS71" s="648" t="s">
        <v>589</v>
      </c>
      <c r="AT71" s="648" t="s">
        <v>587</v>
      </c>
      <c r="AU71" s="648">
        <v>3</v>
      </c>
    </row>
    <row r="72" spans="1:47" ht="18.95" customHeight="1">
      <c r="A72" s="2454"/>
      <c r="B72" s="1437">
        <f>IF(D57=1,AH72,IF(D57=2,AL72,IF(D57=3,AP72,IF(D57=4,AT72))))</f>
        <v>100</v>
      </c>
      <c r="C72" s="1438" t="str">
        <f>IF(D57=1,AI72,IF(D57=2,AM72,IF(D57=3,AQ72,IF(D57=4,AU72))))</f>
        <v>grains</v>
      </c>
      <c r="D72" s="1439">
        <f>IF(D57=1,AG72,IF(D57=2,AK72,IF(D57=3,AO72,IF(D57=4,AS72))))</f>
        <v>0</v>
      </c>
      <c r="E72" s="1440" t="str">
        <f>IF(D57=1,"",IF(D72=F72,"",AD72))</f>
        <v/>
      </c>
      <c r="F72" s="1441" t="str">
        <f>IF(D57=1,"",IF(D57=2,AJ72,IF(D57=3,AN72,IF(D57=4,AR72))))</f>
        <v/>
      </c>
      <c r="G72" s="22" t="str">
        <f t="shared" si="13"/>
        <v>8 grains de poivre noir</v>
      </c>
      <c r="H72" s="22"/>
      <c r="I72" s="2545"/>
      <c r="J72" s="9">
        <v>12</v>
      </c>
      <c r="K72" s="15" t="s">
        <v>461</v>
      </c>
      <c r="L72" s="15"/>
      <c r="M72" s="15"/>
      <c r="N72" s="15"/>
      <c r="O72" s="15"/>
      <c r="P72" s="15"/>
      <c r="Q72" s="2542"/>
      <c r="S72" s="1283">
        <v>8</v>
      </c>
      <c r="T72" s="1282" t="s">
        <v>464</v>
      </c>
      <c r="U72" s="1284"/>
      <c r="V72" s="19" t="s">
        <v>465</v>
      </c>
      <c r="W72" s="626">
        <f t="shared" si="14"/>
        <v>0</v>
      </c>
      <c r="X72" s="331">
        <f>(W72/W90)*X58</f>
        <v>0</v>
      </c>
      <c r="Y72" s="18">
        <f>IF(ISBLANK(S72),"",(S72/W90)*X58)</f>
        <v>9.8765432098765427</v>
      </c>
      <c r="Z72" s="594" t="str">
        <f t="shared" si="23"/>
        <v>grains</v>
      </c>
      <c r="AA72" s="1365">
        <f>W72/W90</f>
        <v>0</v>
      </c>
      <c r="AB72" s="630"/>
      <c r="AC72" s="624">
        <f>AB58</f>
        <v>0</v>
      </c>
      <c r="AD72" s="624">
        <f t="shared" si="20"/>
        <v>0</v>
      </c>
      <c r="AE72" s="1366">
        <f t="shared" si="21"/>
        <v>1</v>
      </c>
      <c r="AG72" s="623">
        <f>((W72/W58)*AI58)</f>
        <v>0</v>
      </c>
      <c r="AH72" s="18">
        <f>IF(ISTEXT(S72),S72,IF(ISBLANK(S72),0,(S72/W58)*AI58))</f>
        <v>100</v>
      </c>
      <c r="AI72" s="17" t="str">
        <f t="shared" si="15"/>
        <v>grains</v>
      </c>
      <c r="AJ72" s="1413">
        <f t="shared" si="16"/>
        <v>0</v>
      </c>
      <c r="AK72" s="646">
        <f>(W72/W58)*AM58</f>
        <v>0</v>
      </c>
      <c r="AL72" s="18">
        <f>IF(ISBLANK(S72),0,(S72/W58)*AM58)</f>
        <v>100</v>
      </c>
      <c r="AM72" s="594" t="str">
        <f t="shared" si="17"/>
        <v>grains</v>
      </c>
      <c r="AN72" s="646">
        <f t="shared" si="22"/>
        <v>0</v>
      </c>
      <c r="AO72" s="715">
        <f t="shared" si="18"/>
        <v>0</v>
      </c>
      <c r="AP72" s="18">
        <f>IF(ISBLANK(S72),0,(S72/W90)*AO91)</f>
        <v>100</v>
      </c>
      <c r="AQ72" s="594" t="str">
        <f t="shared" si="19"/>
        <v>grains</v>
      </c>
      <c r="AR72" s="649" t="s">
        <v>588</v>
      </c>
      <c r="AS72" s="648" t="s">
        <v>589</v>
      </c>
      <c r="AT72" s="648" t="s">
        <v>587</v>
      </c>
      <c r="AU72" s="648">
        <v>3</v>
      </c>
    </row>
    <row r="73" spans="1:47" ht="18.95" customHeight="1">
      <c r="A73" s="2454"/>
      <c r="B73" s="1437">
        <f>IF(D57=1,AH73,IF(D57=2,AL73,IF(D57=3,AP73,IF(D57=4,AT73))))</f>
        <v>12.5</v>
      </c>
      <c r="C73" s="1438" t="str">
        <f>IF(D57=1,AI73,IF(D57=2,AM73,IF(D57=3,AQ73,IF(D57=4,AU73))))</f>
        <v>C/C</v>
      </c>
      <c r="D73" s="1439">
        <f>IF(D57=1,AG73,IF(D57=2,AK73,IF(D57=3,AO73,IF(D57=4,AS73))))</f>
        <v>0</v>
      </c>
      <c r="E73" s="1440" t="str">
        <f>IF(D57=1,"",IF(D73=F73,"",AD73))</f>
        <v/>
      </c>
      <c r="F73" s="1441" t="str">
        <f>IF(D57=1,"",IF(D57=2,AJ73,IF(D57=3,AN73,IF(D57=4,AR73))))</f>
        <v/>
      </c>
      <c r="G73" s="22" t="str">
        <f t="shared" si="13"/>
        <v>1 cuillère à café de gros sel</v>
      </c>
      <c r="H73" s="22"/>
      <c r="I73" s="2545"/>
      <c r="J73" s="9">
        <v>13</v>
      </c>
      <c r="K73" s="15" t="s">
        <v>463</v>
      </c>
      <c r="L73" s="15"/>
      <c r="M73" s="15"/>
      <c r="N73" s="15"/>
      <c r="O73" s="15"/>
      <c r="P73" s="15"/>
      <c r="Q73" s="2542"/>
      <c r="S73" s="1283">
        <v>1</v>
      </c>
      <c r="T73" s="1282" t="s">
        <v>125</v>
      </c>
      <c r="U73" s="1284"/>
      <c r="V73" s="19" t="s">
        <v>467</v>
      </c>
      <c r="W73" s="626">
        <f t="shared" si="14"/>
        <v>0</v>
      </c>
      <c r="X73" s="331">
        <f>(W73/W90)*X58</f>
        <v>0</v>
      </c>
      <c r="Y73" s="18">
        <f>IF(ISBLANK(S73),"",(S73/W90)*X58)</f>
        <v>1.2345679012345678</v>
      </c>
      <c r="Z73" s="594" t="str">
        <f t="shared" si="23"/>
        <v>C/C</v>
      </c>
      <c r="AA73" s="1365">
        <f>W73/W90</f>
        <v>0</v>
      </c>
      <c r="AB73" s="630"/>
      <c r="AC73" s="624">
        <f>AB58</f>
        <v>0</v>
      </c>
      <c r="AD73" s="624">
        <f t="shared" si="20"/>
        <v>0</v>
      </c>
      <c r="AE73" s="1366">
        <f t="shared" si="21"/>
        <v>1</v>
      </c>
      <c r="AG73" s="623">
        <f>((W73/W58)*AI58)</f>
        <v>0</v>
      </c>
      <c r="AH73" s="18">
        <f>IF(ISTEXT(S73),S73,IF(ISBLANK(S73),0,(S73/W58)*AI58))</f>
        <v>12.5</v>
      </c>
      <c r="AI73" s="17" t="str">
        <f t="shared" si="15"/>
        <v>C/C</v>
      </c>
      <c r="AJ73" s="1413">
        <f t="shared" si="16"/>
        <v>0</v>
      </c>
      <c r="AK73" s="646">
        <f>(W73/W58)*AM58</f>
        <v>0</v>
      </c>
      <c r="AL73" s="18">
        <f>IF(ISBLANK(S73),0,(S73/W58)*AM58)</f>
        <v>12.5</v>
      </c>
      <c r="AM73" s="594" t="str">
        <f t="shared" si="17"/>
        <v>C/C</v>
      </c>
      <c r="AN73" s="646">
        <f t="shared" si="22"/>
        <v>0</v>
      </c>
      <c r="AO73" s="715">
        <f t="shared" si="18"/>
        <v>0</v>
      </c>
      <c r="AP73" s="18">
        <f>IF(ISBLANK(S73),0,(S73/W90)*AO91)</f>
        <v>12.5</v>
      </c>
      <c r="AQ73" s="594" t="str">
        <f t="shared" si="19"/>
        <v>C/C</v>
      </c>
      <c r="AR73" s="649" t="s">
        <v>588</v>
      </c>
      <c r="AS73" s="648" t="s">
        <v>589</v>
      </c>
      <c r="AT73" s="648" t="s">
        <v>587</v>
      </c>
      <c r="AU73" s="648">
        <v>3</v>
      </c>
    </row>
    <row r="74" spans="1:47" ht="18.95" customHeight="1">
      <c r="A74" s="2454"/>
      <c r="B74" s="1437">
        <f>IF(D57=1,AH74,IF(D57=2,AL74,IF(D57=3,AP74,IF(D57=4,AT74))))</f>
        <v>0</v>
      </c>
      <c r="C74" s="1438">
        <f>IF(D57=1,AI74,IF(D57=2,AM74,IF(D57=3,AQ74,IF(D57=4,AU74))))</f>
        <v>0</v>
      </c>
      <c r="D74" s="1439">
        <f>IF(D57=1,AG74,IF(D57=2,AK74,IF(D57=3,AO74,IF(D57=4,AS74))))</f>
        <v>0</v>
      </c>
      <c r="E74" s="1440" t="str">
        <f>IF(D57=1,"",IF(D74=F74,"",AD74))</f>
        <v/>
      </c>
      <c r="F74" s="1441" t="str">
        <f>IF(D57=1,"",IF(D57=2,AJ74,IF(D57=3,AN74,IF(D57=4,AR74))))</f>
        <v/>
      </c>
      <c r="G74" s="22">
        <f t="shared" si="13"/>
        <v>0</v>
      </c>
      <c r="H74" s="22"/>
      <c r="I74" s="2545"/>
      <c r="J74" s="9"/>
      <c r="K74" s="15" t="s">
        <v>466</v>
      </c>
      <c r="L74" s="15"/>
      <c r="M74" s="15"/>
      <c r="N74" s="15"/>
      <c r="O74" s="15"/>
      <c r="P74" s="15"/>
      <c r="Q74" s="2542"/>
      <c r="S74" s="1283"/>
      <c r="T74" s="1282"/>
      <c r="U74" s="1284"/>
      <c r="V74" s="19"/>
      <c r="W74" s="626">
        <f t="shared" si="14"/>
        <v>0</v>
      </c>
      <c r="X74" s="331">
        <f>(W74/W90)*X58</f>
        <v>0</v>
      </c>
      <c r="Y74" s="18" t="str">
        <f>IF(ISBLANK(S74),"",(S74/W90)*X58)</f>
        <v/>
      </c>
      <c r="Z74" s="594">
        <f t="shared" si="23"/>
        <v>0</v>
      </c>
      <c r="AA74" s="1365">
        <f>W74/W90</f>
        <v>0</v>
      </c>
      <c r="AB74" s="630"/>
      <c r="AC74" s="624">
        <f>AB58</f>
        <v>0</v>
      </c>
      <c r="AD74" s="624">
        <f t="shared" si="20"/>
        <v>0</v>
      </c>
      <c r="AE74" s="1366">
        <f t="shared" si="21"/>
        <v>1</v>
      </c>
      <c r="AG74" s="623">
        <f>((W74/W58)*AI58)</f>
        <v>0</v>
      </c>
      <c r="AH74" s="18">
        <f>IF(ISTEXT(S74),S74,IF(ISBLANK(S74),0,(S74/W58)*AI58))</f>
        <v>0</v>
      </c>
      <c r="AI74" s="17">
        <f t="shared" si="15"/>
        <v>0</v>
      </c>
      <c r="AJ74" s="1413">
        <f t="shared" si="16"/>
        <v>0</v>
      </c>
      <c r="AK74" s="646">
        <f>(W74/W58)*AM58</f>
        <v>0</v>
      </c>
      <c r="AL74" s="18">
        <f>IF(ISBLANK(S74),0,(S74/W58)*AM58)</f>
        <v>0</v>
      </c>
      <c r="AM74" s="594">
        <f t="shared" si="17"/>
        <v>0</v>
      </c>
      <c r="AN74" s="646">
        <f t="shared" si="22"/>
        <v>0</v>
      </c>
      <c r="AO74" s="715">
        <f t="shared" si="18"/>
        <v>0</v>
      </c>
      <c r="AP74" s="18">
        <f>IF(ISBLANK(S74),0,(S74/W90)*AO91)</f>
        <v>0</v>
      </c>
      <c r="AQ74" s="594">
        <f t="shared" si="19"/>
        <v>0</v>
      </c>
      <c r="AR74" s="649" t="s">
        <v>588</v>
      </c>
      <c r="AS74" s="648" t="s">
        <v>589</v>
      </c>
      <c r="AT74" s="648" t="s">
        <v>587</v>
      </c>
      <c r="AU74" s="648">
        <v>3</v>
      </c>
    </row>
    <row r="75" spans="1:47" ht="18.95" customHeight="1">
      <c r="A75" s="2454"/>
      <c r="B75" s="1437">
        <f>IF(D57=1,AH75,IF(D57=2,AL75,IF(D57=3,AP75,IF(D57=4,AT75))))</f>
        <v>0</v>
      </c>
      <c r="C75" s="1438">
        <f>IF(D57=1,AI75,IF(D57=2,AM75,IF(D57=3,AQ75,IF(D57=4,AU75))))</f>
        <v>0</v>
      </c>
      <c r="D75" s="1439">
        <f>IF(D57=1,AG75,IF(D57=2,AK75,IF(D57=3,AO75,IF(D57=4,AS75))))</f>
        <v>0</v>
      </c>
      <c r="E75" s="1440" t="str">
        <f>IF(D57=1,"",IF(D75=F75,"",AD75))</f>
        <v/>
      </c>
      <c r="F75" s="1441" t="str">
        <f>IF(D57=1,"",IF(D57=2,AJ75,IF(D57=3,AN75,IF(D57=4,AR75))))</f>
        <v/>
      </c>
      <c r="G75" s="22">
        <f t="shared" si="13"/>
        <v>0</v>
      </c>
      <c r="H75" s="22"/>
      <c r="I75" s="2545"/>
      <c r="J75" s="9">
        <v>14</v>
      </c>
      <c r="K75" s="15" t="s">
        <v>468</v>
      </c>
      <c r="L75" s="15"/>
      <c r="M75" s="15"/>
      <c r="N75" s="15"/>
      <c r="O75" s="15"/>
      <c r="P75" s="15"/>
      <c r="Q75" s="2542"/>
      <c r="S75" s="1283"/>
      <c r="T75" s="1282"/>
      <c r="U75" s="1284"/>
      <c r="V75" s="19"/>
      <c r="W75" s="626">
        <f t="shared" si="14"/>
        <v>0</v>
      </c>
      <c r="X75" s="331">
        <f>(W75/W90)*X58</f>
        <v>0</v>
      </c>
      <c r="Y75" s="18" t="str">
        <f>IF(ISBLANK(S75),"",(S75/W90)*X58)</f>
        <v/>
      </c>
      <c r="Z75" s="594">
        <f t="shared" si="23"/>
        <v>0</v>
      </c>
      <c r="AA75" s="1365">
        <f>W75/W90</f>
        <v>0</v>
      </c>
      <c r="AB75" s="630"/>
      <c r="AC75" s="624">
        <f>AB58</f>
        <v>0</v>
      </c>
      <c r="AD75" s="624">
        <f t="shared" si="20"/>
        <v>0</v>
      </c>
      <c r="AE75" s="1366">
        <f t="shared" si="21"/>
        <v>1</v>
      </c>
      <c r="AG75" s="623">
        <f>((W75/W58)*AI58)</f>
        <v>0</v>
      </c>
      <c r="AH75" s="18">
        <f>IF(ISTEXT(S75),S75,IF(ISBLANK(S75),0,(S75/W58)*AI58))</f>
        <v>0</v>
      </c>
      <c r="AI75" s="17">
        <f t="shared" si="15"/>
        <v>0</v>
      </c>
      <c r="AJ75" s="1413">
        <f t="shared" si="16"/>
        <v>0</v>
      </c>
      <c r="AK75" s="646">
        <f>(W75/W58)*AM58</f>
        <v>0</v>
      </c>
      <c r="AL75" s="18">
        <f>IF(ISBLANK(S75),0,(S75/W58)*AM58)</f>
        <v>0</v>
      </c>
      <c r="AM75" s="594">
        <f t="shared" si="17"/>
        <v>0</v>
      </c>
      <c r="AN75" s="646">
        <f t="shared" si="22"/>
        <v>0</v>
      </c>
      <c r="AO75" s="715">
        <f t="shared" si="18"/>
        <v>0</v>
      </c>
      <c r="AP75" s="18">
        <f>IF(ISBLANK(S75),0,(S75/W90)*AO91)</f>
        <v>0</v>
      </c>
      <c r="AQ75" s="594">
        <f t="shared" si="19"/>
        <v>0</v>
      </c>
      <c r="AR75" s="649" t="s">
        <v>588</v>
      </c>
      <c r="AS75" s="648" t="s">
        <v>589</v>
      </c>
      <c r="AT75" s="648" t="s">
        <v>587</v>
      </c>
      <c r="AU75" s="648">
        <v>3</v>
      </c>
    </row>
    <row r="76" spans="1:47" ht="18.95" customHeight="1">
      <c r="A76" s="2454"/>
      <c r="B76" s="1437">
        <f>IF(D57=1,AH76,IF(D57=2,AL76,IF(D57=3,AP76,IF(D57=4,AT76))))</f>
        <v>0</v>
      </c>
      <c r="C76" s="1438">
        <f>IF(D57=1,AI76,IF(D57=2,AM76,IF(D57=3,AQ76,IF(D57=4,AU76))))</f>
        <v>0</v>
      </c>
      <c r="D76" s="1439">
        <f>IF(D57=1,AG76,IF(D57=2,AK76,IF(D57=3,AO76,IF(D57=4,AS76))))</f>
        <v>0</v>
      </c>
      <c r="E76" s="1440" t="str">
        <f>IF(D57=1,"",IF(D76=F76,"",AD76))</f>
        <v/>
      </c>
      <c r="F76" s="1441" t="str">
        <f>IF(D57=1,"",IF(D57=2,AJ76,IF(D57=3,AN76,IF(D57=4,AR76))))</f>
        <v/>
      </c>
      <c r="G76" s="22">
        <f t="shared" si="13"/>
        <v>0</v>
      </c>
      <c r="H76" s="22"/>
      <c r="I76" s="2545"/>
      <c r="J76" s="9">
        <v>15</v>
      </c>
      <c r="K76" s="15" t="s">
        <v>469</v>
      </c>
      <c r="L76" s="15"/>
      <c r="M76" s="15"/>
      <c r="N76" s="15"/>
      <c r="O76" s="15"/>
      <c r="P76" s="15"/>
      <c r="Q76" s="2542"/>
      <c r="S76" s="1283"/>
      <c r="T76" s="1282"/>
      <c r="U76" s="1284"/>
      <c r="V76" s="19"/>
      <c r="W76" s="626">
        <f t="shared" si="14"/>
        <v>0</v>
      </c>
      <c r="X76" s="331">
        <f>(W76/W90)*X58</f>
        <v>0</v>
      </c>
      <c r="Y76" s="18" t="str">
        <f>IF(ISBLANK(S76),"",(S76/W90)*X58)</f>
        <v/>
      </c>
      <c r="Z76" s="594">
        <f t="shared" si="23"/>
        <v>0</v>
      </c>
      <c r="AA76" s="1365">
        <f>W76/W90</f>
        <v>0</v>
      </c>
      <c r="AB76" s="630"/>
      <c r="AC76" s="624">
        <f>AB58</f>
        <v>0</v>
      </c>
      <c r="AD76" s="624">
        <f t="shared" si="20"/>
        <v>0</v>
      </c>
      <c r="AE76" s="1366">
        <f t="shared" si="21"/>
        <v>1</v>
      </c>
      <c r="AG76" s="623">
        <f>((W76/W58)*AI58)</f>
        <v>0</v>
      </c>
      <c r="AH76" s="18">
        <f>IF(ISTEXT(S76),S76,IF(ISBLANK(S76),0,(S76/W58)*AI58))</f>
        <v>0</v>
      </c>
      <c r="AI76" s="17">
        <f t="shared" si="15"/>
        <v>0</v>
      </c>
      <c r="AJ76" s="1413">
        <f t="shared" si="16"/>
        <v>0</v>
      </c>
      <c r="AK76" s="646">
        <f>(W76/W58)*AM58</f>
        <v>0</v>
      </c>
      <c r="AL76" s="18">
        <f>IF(ISBLANK(S76),0,(S76/W58)*AM58)</f>
        <v>0</v>
      </c>
      <c r="AM76" s="594">
        <f t="shared" si="17"/>
        <v>0</v>
      </c>
      <c r="AN76" s="646">
        <f t="shared" si="22"/>
        <v>0</v>
      </c>
      <c r="AO76" s="715">
        <f t="shared" si="18"/>
        <v>0</v>
      </c>
      <c r="AP76" s="18">
        <f>IF(ISBLANK(S76),0,(S76/W90)*AO91)</f>
        <v>0</v>
      </c>
      <c r="AQ76" s="594">
        <f t="shared" si="19"/>
        <v>0</v>
      </c>
      <c r="AR76" s="649" t="s">
        <v>588</v>
      </c>
      <c r="AS76" s="648" t="s">
        <v>589</v>
      </c>
      <c r="AT76" s="648" t="s">
        <v>587</v>
      </c>
      <c r="AU76" s="648">
        <v>3</v>
      </c>
    </row>
    <row r="77" spans="1:47" ht="18.95" customHeight="1">
      <c r="A77" s="2454"/>
      <c r="B77" s="1437">
        <f>IF(D57=1,AH77,IF(D57=2,AL77,IF(D57=3,AP77,IF(D57=4,AT77))))</f>
        <v>0</v>
      </c>
      <c r="C77" s="1438">
        <f>IF(D57=1,AI77,IF(D57=2,AM77,IF(D57=3,AQ77,IF(D57=4,AU77))))</f>
        <v>0</v>
      </c>
      <c r="D77" s="1439">
        <f>IF(D57=1,AG77,IF(D57=2,AK77,IF(D57=3,AO77,IF(D57=4,AS77))))</f>
        <v>0</v>
      </c>
      <c r="E77" s="1440" t="str">
        <f>IF(D57=1,"",IF(D77=F77,"",AD77))</f>
        <v/>
      </c>
      <c r="F77" s="1441" t="str">
        <f>IF(D57=1,"",IF(D57=2,AJ77,IF(D57=3,AN77,IF(D57=4,AR77))))</f>
        <v/>
      </c>
      <c r="G77" s="22">
        <f t="shared" si="13"/>
        <v>0</v>
      </c>
      <c r="H77" s="22"/>
      <c r="I77" s="2545"/>
      <c r="J77" s="9">
        <v>16</v>
      </c>
      <c r="K77" s="15" t="s">
        <v>470</v>
      </c>
      <c r="L77" s="15"/>
      <c r="M77" s="15"/>
      <c r="N77" s="15"/>
      <c r="O77" s="15"/>
      <c r="P77" s="15"/>
      <c r="Q77" s="2542"/>
      <c r="S77" s="1283"/>
      <c r="T77" s="1282"/>
      <c r="U77" s="1284"/>
      <c r="V77" s="19"/>
      <c r="W77" s="626">
        <f t="shared" si="14"/>
        <v>0</v>
      </c>
      <c r="X77" s="331">
        <f>(W77/W90)*X58</f>
        <v>0</v>
      </c>
      <c r="Y77" s="18" t="str">
        <f>IF(ISBLANK(S77),"",(S77/W90)*X58)</f>
        <v/>
      </c>
      <c r="Z77" s="594">
        <f t="shared" si="23"/>
        <v>0</v>
      </c>
      <c r="AA77" s="1365">
        <f>W77/W90</f>
        <v>0</v>
      </c>
      <c r="AB77" s="630"/>
      <c r="AC77" s="624">
        <f>AB58</f>
        <v>0</v>
      </c>
      <c r="AD77" s="624">
        <f t="shared" si="20"/>
        <v>0</v>
      </c>
      <c r="AE77" s="1366">
        <f t="shared" si="21"/>
        <v>1</v>
      </c>
      <c r="AG77" s="623">
        <f>((W77/W58)*AI58)</f>
        <v>0</v>
      </c>
      <c r="AH77" s="18">
        <f>IF(ISTEXT(S77),S77,IF(ISBLANK(S77),0,(S77/W58)*AI58))</f>
        <v>0</v>
      </c>
      <c r="AI77" s="17">
        <f t="shared" si="15"/>
        <v>0</v>
      </c>
      <c r="AJ77" s="1413">
        <f t="shared" si="16"/>
        <v>0</v>
      </c>
      <c r="AK77" s="646">
        <f>(W77/W58)*AM58</f>
        <v>0</v>
      </c>
      <c r="AL77" s="18">
        <f>IF(ISBLANK(S77),0,(S77/W58)*AM58)</f>
        <v>0</v>
      </c>
      <c r="AM77" s="594">
        <f t="shared" si="17"/>
        <v>0</v>
      </c>
      <c r="AN77" s="646">
        <f t="shared" si="22"/>
        <v>0</v>
      </c>
      <c r="AO77" s="715">
        <f t="shared" si="18"/>
        <v>0</v>
      </c>
      <c r="AP77" s="18">
        <f>IF(ISBLANK(S77),0,(S77/W90)*AO91)</f>
        <v>0</v>
      </c>
      <c r="AQ77" s="594">
        <f t="shared" si="19"/>
        <v>0</v>
      </c>
      <c r="AR77" s="649" t="s">
        <v>588</v>
      </c>
      <c r="AS77" s="648" t="s">
        <v>589</v>
      </c>
      <c r="AT77" s="648" t="s">
        <v>587</v>
      </c>
      <c r="AU77" s="648">
        <v>3</v>
      </c>
    </row>
    <row r="78" spans="1:47" ht="18.95" customHeight="1">
      <c r="A78" s="2454"/>
      <c r="B78" s="1437">
        <f>IF(D57=1,AH78,IF(D57=2,AL78,IF(D57=3,AP78,IF(D57=4,AT78))))</f>
        <v>0</v>
      </c>
      <c r="C78" s="1438">
        <f>IF(D57=1,AI78,IF(D57=2,AM78,IF(D57=3,AQ78,IF(D57=4,AU78))))</f>
        <v>0</v>
      </c>
      <c r="D78" s="1439">
        <f>IF(D57=1,AG78,IF(D57=2,AK78,IF(D57=3,AO78,IF(D57=4,AS78))))</f>
        <v>0</v>
      </c>
      <c r="E78" s="1440" t="str">
        <f>IF(D57=1,"",IF(D78=F78,"",AD78))</f>
        <v/>
      </c>
      <c r="F78" s="1441" t="str">
        <f>IF(D57=1,"",IF(D57=2,AJ78,IF(D57=3,AN78,IF(D57=4,AR78))))</f>
        <v/>
      </c>
      <c r="G78" s="22">
        <f t="shared" si="13"/>
        <v>0</v>
      </c>
      <c r="H78" s="22"/>
      <c r="I78" s="2545"/>
      <c r="J78" s="9">
        <v>17</v>
      </c>
      <c r="K78" s="15" t="s">
        <v>471</v>
      </c>
      <c r="L78" s="15"/>
      <c r="M78" s="15"/>
      <c r="N78" s="15"/>
      <c r="O78" s="15"/>
      <c r="P78" s="15"/>
      <c r="Q78" s="2542"/>
      <c r="S78" s="1283"/>
      <c r="T78" s="1282"/>
      <c r="U78" s="1284"/>
      <c r="V78" s="19"/>
      <c r="W78" s="626">
        <f t="shared" si="14"/>
        <v>0</v>
      </c>
      <c r="X78" s="331">
        <f>(W78/W90)*X58</f>
        <v>0</v>
      </c>
      <c r="Y78" s="18" t="str">
        <f>IF(ISBLANK(S78),"",(S78/W90)*X58)</f>
        <v/>
      </c>
      <c r="Z78" s="594">
        <f t="shared" si="23"/>
        <v>0</v>
      </c>
      <c r="AA78" s="1365">
        <f>W78/W90</f>
        <v>0</v>
      </c>
      <c r="AB78" s="630"/>
      <c r="AC78" s="624">
        <f>AB58</f>
        <v>0</v>
      </c>
      <c r="AD78" s="624">
        <f t="shared" si="20"/>
        <v>0</v>
      </c>
      <c r="AE78" s="1366">
        <f t="shared" si="21"/>
        <v>1</v>
      </c>
      <c r="AG78" s="623">
        <f>((W78/W58)*AI58)</f>
        <v>0</v>
      </c>
      <c r="AH78" s="18">
        <f>IF(ISTEXT(S78),S78,IF(ISBLANK(S78),0,(S78/W58)*AI58))</f>
        <v>0</v>
      </c>
      <c r="AI78" s="17">
        <f t="shared" si="15"/>
        <v>0</v>
      </c>
      <c r="AJ78" s="1413">
        <f t="shared" si="16"/>
        <v>0</v>
      </c>
      <c r="AK78" s="646">
        <f>(W78/W58)*AM58</f>
        <v>0</v>
      </c>
      <c r="AL78" s="18">
        <f>IF(ISBLANK(S78),0,(S78/W58)*AM58)</f>
        <v>0</v>
      </c>
      <c r="AM78" s="594">
        <f t="shared" si="17"/>
        <v>0</v>
      </c>
      <c r="AN78" s="646">
        <f t="shared" si="22"/>
        <v>0</v>
      </c>
      <c r="AO78" s="715">
        <f t="shared" si="18"/>
        <v>0</v>
      </c>
      <c r="AP78" s="18">
        <f>IF(ISBLANK(S78),0,(S78/W90)*AO91)</f>
        <v>0</v>
      </c>
      <c r="AQ78" s="594">
        <f t="shared" si="19"/>
        <v>0</v>
      </c>
      <c r="AR78" s="649" t="s">
        <v>588</v>
      </c>
      <c r="AS78" s="648" t="s">
        <v>589</v>
      </c>
      <c r="AT78" s="648" t="s">
        <v>587</v>
      </c>
      <c r="AU78" s="648">
        <v>3</v>
      </c>
    </row>
    <row r="79" spans="1:47" ht="18.95" customHeight="1">
      <c r="A79" s="2454"/>
      <c r="B79" s="1437">
        <f>IF(D57=1,AH79,IF(D57=2,AL79,IF(D57=3,AP79,IF(D57=4,AT79))))</f>
        <v>0</v>
      </c>
      <c r="C79" s="1438">
        <f>IF(D57=1,AI79,IF(D57=2,AM79,IF(D57=3,AQ79,IF(D57=4,AU79))))</f>
        <v>0</v>
      </c>
      <c r="D79" s="1439">
        <f>IF(D57=1,AG79,IF(D57=2,AK79,IF(D57=3,AO79,IF(D57=4,AS79))))</f>
        <v>0</v>
      </c>
      <c r="E79" s="1440" t="str">
        <f>IF(D57=1,"",IF(D79=F79,"",AD79))</f>
        <v/>
      </c>
      <c r="F79" s="1441" t="str">
        <f>IF(D57=1,"",IF(D57=2,AJ79,IF(D57=3,AN79,IF(D57=4,AR79))))</f>
        <v/>
      </c>
      <c r="G79" s="22">
        <f t="shared" si="13"/>
        <v>0</v>
      </c>
      <c r="H79" s="22"/>
      <c r="I79" s="2545"/>
      <c r="J79" s="9">
        <v>18</v>
      </c>
      <c r="K79" s="15" t="s">
        <v>472</v>
      </c>
      <c r="L79" s="15"/>
      <c r="M79" s="15"/>
      <c r="N79" s="15"/>
      <c r="O79" s="15"/>
      <c r="P79" s="15"/>
      <c r="Q79" s="2542"/>
      <c r="S79" s="1283"/>
      <c r="T79" s="1282"/>
      <c r="U79" s="1284"/>
      <c r="V79" s="19"/>
      <c r="W79" s="626">
        <f t="shared" si="14"/>
        <v>0</v>
      </c>
      <c r="X79" s="331">
        <f>(W79/W90)*X58</f>
        <v>0</v>
      </c>
      <c r="Y79" s="18" t="str">
        <f>IF(ISBLANK(S79),"",(S79/W90)*X58)</f>
        <v/>
      </c>
      <c r="Z79" s="594">
        <f t="shared" si="23"/>
        <v>0</v>
      </c>
      <c r="AA79" s="1365">
        <f>W79/W90</f>
        <v>0</v>
      </c>
      <c r="AB79" s="630"/>
      <c r="AC79" s="624">
        <f>AB58</f>
        <v>0</v>
      </c>
      <c r="AD79" s="624">
        <f t="shared" si="20"/>
        <v>0</v>
      </c>
      <c r="AE79" s="1366">
        <f t="shared" si="21"/>
        <v>1</v>
      </c>
      <c r="AG79" s="623">
        <f>((W79/W58)*AI58)</f>
        <v>0</v>
      </c>
      <c r="AH79" s="18">
        <f>IF(ISTEXT(S79),S79,IF(ISBLANK(S79),0,(S79/W58)*AI58))</f>
        <v>0</v>
      </c>
      <c r="AI79" s="17">
        <f t="shared" si="15"/>
        <v>0</v>
      </c>
      <c r="AJ79" s="1413">
        <f t="shared" si="16"/>
        <v>0</v>
      </c>
      <c r="AK79" s="646">
        <f>(W79/W58)*AM58</f>
        <v>0</v>
      </c>
      <c r="AL79" s="18">
        <f>IF(ISBLANK(S79),0,(S79/W58)*AM58)</f>
        <v>0</v>
      </c>
      <c r="AM79" s="594">
        <f t="shared" si="17"/>
        <v>0</v>
      </c>
      <c r="AN79" s="646">
        <f t="shared" si="22"/>
        <v>0</v>
      </c>
      <c r="AO79" s="715">
        <f t="shared" si="18"/>
        <v>0</v>
      </c>
      <c r="AP79" s="18">
        <f>IF(ISBLANK(S79),0,(S79/W90)*AO91)</f>
        <v>0</v>
      </c>
      <c r="AQ79" s="594">
        <f t="shared" si="19"/>
        <v>0</v>
      </c>
      <c r="AR79" s="649" t="s">
        <v>588</v>
      </c>
      <c r="AS79" s="648" t="s">
        <v>589</v>
      </c>
      <c r="AT79" s="648" t="s">
        <v>587</v>
      </c>
      <c r="AU79" s="648">
        <v>3</v>
      </c>
    </row>
    <row r="80" spans="1:47" ht="18.95" customHeight="1">
      <c r="A80" s="2454"/>
      <c r="B80" s="1437">
        <f>IF(D57=1,AH80,IF(D57=2,AL80,IF(D57=3,AP80,IF(D57=4,AT80))))</f>
        <v>0</v>
      </c>
      <c r="C80" s="1438">
        <f>IF(D57=1,AI80,IF(D57=2,AM80,IF(D57=3,AQ80,IF(D57=4,AU80))))</f>
        <v>0</v>
      </c>
      <c r="D80" s="1439">
        <f>IF(D57=1,AG80,IF(D57=2,AK80,IF(D57=3,AO80,IF(D57=4,AS80))))</f>
        <v>0</v>
      </c>
      <c r="E80" s="1440" t="str">
        <f>IF(D57=1,"",IF(D80=F80,"",AD80))</f>
        <v/>
      </c>
      <c r="F80" s="1441" t="str">
        <f>IF(D57=1,"",IF(D57=2,AJ80,IF(D57=3,AN80,IF(D57=4,AR80))))</f>
        <v/>
      </c>
      <c r="G80" s="22">
        <f t="shared" si="13"/>
        <v>0</v>
      </c>
      <c r="H80" s="22"/>
      <c r="I80" s="2545"/>
      <c r="J80" s="9">
        <v>20</v>
      </c>
      <c r="K80" s="15"/>
      <c r="L80" s="15"/>
      <c r="M80" s="15"/>
      <c r="N80" s="15"/>
      <c r="O80" s="15"/>
      <c r="P80" s="15"/>
      <c r="Q80" s="2542"/>
      <c r="S80" s="1283"/>
      <c r="T80" s="1282"/>
      <c r="U80" s="1284"/>
      <c r="V80" s="19"/>
      <c r="W80" s="626">
        <f t="shared" si="14"/>
        <v>0</v>
      </c>
      <c r="X80" s="331">
        <f>(W80/W90)*X58</f>
        <v>0</v>
      </c>
      <c r="Y80" s="18" t="str">
        <f>IF(ISBLANK(S80),"",(S80/W90)*X58)</f>
        <v/>
      </c>
      <c r="Z80" s="594">
        <f t="shared" si="23"/>
        <v>0</v>
      </c>
      <c r="AA80" s="1365">
        <f>W80/W90</f>
        <v>0</v>
      </c>
      <c r="AB80" s="630"/>
      <c r="AC80" s="624">
        <f>AB58</f>
        <v>0</v>
      </c>
      <c r="AD80" s="624">
        <f t="shared" si="20"/>
        <v>0</v>
      </c>
      <c r="AE80" s="1366">
        <f t="shared" si="21"/>
        <v>1</v>
      </c>
      <c r="AG80" s="623">
        <f>((W80/W58)*AI58)</f>
        <v>0</v>
      </c>
      <c r="AH80" s="18">
        <f>IF(ISTEXT(S80),S80,IF(ISBLANK(S80),0,(S80/W58)*AI58))</f>
        <v>0</v>
      </c>
      <c r="AI80" s="17">
        <f t="shared" si="15"/>
        <v>0</v>
      </c>
      <c r="AJ80" s="1413">
        <f t="shared" si="16"/>
        <v>0</v>
      </c>
      <c r="AK80" s="646">
        <f>(W80/W58)*AM58</f>
        <v>0</v>
      </c>
      <c r="AL80" s="18">
        <f>IF(ISBLANK(S80),0,(S80/W58)*AM58)</f>
        <v>0</v>
      </c>
      <c r="AM80" s="594">
        <f t="shared" si="17"/>
        <v>0</v>
      </c>
      <c r="AN80" s="646">
        <f t="shared" si="22"/>
        <v>0</v>
      </c>
      <c r="AO80" s="715">
        <f t="shared" si="18"/>
        <v>0</v>
      </c>
      <c r="AP80" s="18">
        <f>IF(ISBLANK(S80),0,(S80/W90)*AO91)</f>
        <v>0</v>
      </c>
      <c r="AQ80" s="594">
        <f t="shared" si="19"/>
        <v>0</v>
      </c>
      <c r="AR80" s="649" t="s">
        <v>588</v>
      </c>
      <c r="AS80" s="648" t="s">
        <v>589</v>
      </c>
      <c r="AT80" s="648" t="s">
        <v>587</v>
      </c>
      <c r="AU80" s="648">
        <v>3</v>
      </c>
    </row>
    <row r="81" spans="1:47" ht="18.95" customHeight="1">
      <c r="A81" s="2454"/>
      <c r="B81" s="1437">
        <f>IF(D57=1,AH81,IF(D57=2,AL81,IF(D57=3,AP81,IF(D57=4,AT81))))</f>
        <v>0</v>
      </c>
      <c r="C81" s="1438">
        <f>IF(D57=1,AI81,IF(D57=2,AM81,IF(D57=3,AQ81,IF(D57=4,AU81))))</f>
        <v>0</v>
      </c>
      <c r="D81" s="1439">
        <f>IF(D57=1,AG81,IF(D57=2,AK81,IF(D57=3,AO81,IF(D57=4,AS81))))</f>
        <v>0</v>
      </c>
      <c r="E81" s="1440" t="str">
        <f>IF(D57=1,"",IF(D81=F81,"",AD81))</f>
        <v/>
      </c>
      <c r="F81" s="1441" t="str">
        <f>IF(D57=1,"",IF(D57=2,AJ81,IF(D57=3,AN81,IF(D57=4,AR81))))</f>
        <v/>
      </c>
      <c r="G81" s="22">
        <f t="shared" si="13"/>
        <v>0</v>
      </c>
      <c r="H81" s="22"/>
      <c r="I81" s="2545"/>
      <c r="J81" s="9">
        <v>21</v>
      </c>
      <c r="K81" s="15"/>
      <c r="L81" s="15"/>
      <c r="M81" s="15"/>
      <c r="N81" s="15"/>
      <c r="O81" s="15"/>
      <c r="P81" s="15"/>
      <c r="Q81" s="2542"/>
      <c r="S81" s="1283"/>
      <c r="T81" s="1282"/>
      <c r="U81" s="1284"/>
      <c r="V81" s="19"/>
      <c r="W81" s="626">
        <f t="shared" si="14"/>
        <v>0</v>
      </c>
      <c r="X81" s="331">
        <f>(W81/W90)*X58</f>
        <v>0</v>
      </c>
      <c r="Y81" s="18" t="str">
        <f>IF(ISBLANK(S81),"",(S81/W90)*X58)</f>
        <v/>
      </c>
      <c r="Z81" s="594">
        <f t="shared" si="23"/>
        <v>0</v>
      </c>
      <c r="AA81" s="1365">
        <f>W81/W90</f>
        <v>0</v>
      </c>
      <c r="AB81" s="630"/>
      <c r="AC81" s="624">
        <f>AB58</f>
        <v>0</v>
      </c>
      <c r="AD81" s="624">
        <f t="shared" si="20"/>
        <v>0</v>
      </c>
      <c r="AE81" s="1366">
        <f t="shared" si="21"/>
        <v>1</v>
      </c>
      <c r="AG81" s="623">
        <f>((W81/W58)*AI58)</f>
        <v>0</v>
      </c>
      <c r="AH81" s="18">
        <f>IF(ISTEXT(S81),S81,IF(ISBLANK(S81),0,(S81/W58)*AI58))</f>
        <v>0</v>
      </c>
      <c r="AI81" s="17">
        <f t="shared" si="15"/>
        <v>0</v>
      </c>
      <c r="AJ81" s="1413">
        <f t="shared" si="16"/>
        <v>0</v>
      </c>
      <c r="AK81" s="646">
        <f>(W81/W58)*AM58</f>
        <v>0</v>
      </c>
      <c r="AL81" s="18">
        <f>IF(ISBLANK(S81),0,(S81/W58)*AM58)</f>
        <v>0</v>
      </c>
      <c r="AM81" s="594">
        <f t="shared" si="17"/>
        <v>0</v>
      </c>
      <c r="AN81" s="646">
        <f t="shared" si="22"/>
        <v>0</v>
      </c>
      <c r="AO81" s="715">
        <f t="shared" si="18"/>
        <v>0</v>
      </c>
      <c r="AP81" s="18">
        <f>IF(ISBLANK(S81),0,(S81/W90)*AO91)</f>
        <v>0</v>
      </c>
      <c r="AQ81" s="594">
        <f t="shared" si="19"/>
        <v>0</v>
      </c>
      <c r="AR81" s="649" t="s">
        <v>588</v>
      </c>
      <c r="AS81" s="648" t="s">
        <v>589</v>
      </c>
      <c r="AT81" s="648" t="s">
        <v>587</v>
      </c>
      <c r="AU81" s="648">
        <v>3</v>
      </c>
    </row>
    <row r="82" spans="1:47" ht="18.95" customHeight="1">
      <c r="A82" s="2454"/>
      <c r="B82" s="1437">
        <f>IF(D57=1,AH82,IF(D57=2,AL82,IF(D57=3,AP82,IF(D57=4,AT82))))</f>
        <v>0</v>
      </c>
      <c r="C82" s="1438">
        <f>IF(D57=1,AI82,IF(D57=2,AM82,IF(D57=3,AQ82,IF(D57=4,AU82))))</f>
        <v>0</v>
      </c>
      <c r="D82" s="1439">
        <f>IF(D57=1,AG82,IF(D57=2,AK82,IF(D57=3,AO82,IF(D57=4,AS82))))</f>
        <v>0</v>
      </c>
      <c r="E82" s="1440" t="str">
        <f>IF(D57=1,"",IF(D82=F82,"",AD82))</f>
        <v/>
      </c>
      <c r="F82" s="1441" t="str">
        <f>IF(D57=1,"",IF(D57=2,AJ82,IF(D57=3,AN82,IF(D57=4,AR82))))</f>
        <v/>
      </c>
      <c r="G82" s="22">
        <f t="shared" si="13"/>
        <v>0</v>
      </c>
      <c r="H82" s="22"/>
      <c r="I82" s="2545"/>
      <c r="J82" s="9">
        <v>22</v>
      </c>
      <c r="K82" s="15"/>
      <c r="L82" s="15"/>
      <c r="M82" s="15"/>
      <c r="N82" s="15"/>
      <c r="O82" s="15"/>
      <c r="P82" s="15"/>
      <c r="Q82" s="2542"/>
      <c r="S82" s="1283"/>
      <c r="T82" s="1282"/>
      <c r="U82" s="1284"/>
      <c r="V82" s="19"/>
      <c r="W82" s="626">
        <f t="shared" si="14"/>
        <v>0</v>
      </c>
      <c r="X82" s="331">
        <f>(W82/W90)*X58</f>
        <v>0</v>
      </c>
      <c r="Y82" s="18" t="str">
        <f>IF(ISBLANK(S82),"",(S82/W90)*X58)</f>
        <v/>
      </c>
      <c r="Z82" s="594">
        <f t="shared" si="23"/>
        <v>0</v>
      </c>
      <c r="AA82" s="1365">
        <f>W82/W90</f>
        <v>0</v>
      </c>
      <c r="AB82" s="630"/>
      <c r="AC82" s="624">
        <f>AB58</f>
        <v>0</v>
      </c>
      <c r="AD82" s="624">
        <f t="shared" si="20"/>
        <v>0</v>
      </c>
      <c r="AE82" s="1366">
        <f t="shared" si="21"/>
        <v>1</v>
      </c>
      <c r="AG82" s="623">
        <f>((W82/W58)*AI58)</f>
        <v>0</v>
      </c>
      <c r="AH82" s="18">
        <f>IF(ISTEXT(S82),S82,IF(ISBLANK(S82),0,(S82/W58)*AI58))</f>
        <v>0</v>
      </c>
      <c r="AI82" s="17">
        <f t="shared" si="15"/>
        <v>0</v>
      </c>
      <c r="AJ82" s="1413">
        <f t="shared" si="16"/>
        <v>0</v>
      </c>
      <c r="AK82" s="646">
        <f>(W82/W58)*AM58</f>
        <v>0</v>
      </c>
      <c r="AL82" s="18">
        <f>IF(ISBLANK(S82),0,(S82/W58)*AM58)</f>
        <v>0</v>
      </c>
      <c r="AM82" s="594">
        <f t="shared" si="17"/>
        <v>0</v>
      </c>
      <c r="AN82" s="646">
        <f t="shared" si="22"/>
        <v>0</v>
      </c>
      <c r="AO82" s="715">
        <f t="shared" si="18"/>
        <v>0</v>
      </c>
      <c r="AP82" s="18">
        <f>IF(ISBLANK(S82),0,(S82/W90)*AO91)</f>
        <v>0</v>
      </c>
      <c r="AQ82" s="594">
        <f t="shared" si="19"/>
        <v>0</v>
      </c>
      <c r="AR82" s="649" t="s">
        <v>588</v>
      </c>
      <c r="AS82" s="648" t="s">
        <v>589</v>
      </c>
      <c r="AT82" s="648" t="s">
        <v>587</v>
      </c>
      <c r="AU82" s="648">
        <v>3</v>
      </c>
    </row>
    <row r="83" spans="1:47" ht="18.95" customHeight="1">
      <c r="A83" s="2454"/>
      <c r="B83" s="1437">
        <f>IF(D57=1,AH83,IF(D57=2,AL83,IF(D57=3,AP83,IF(D57=4,AT83))))</f>
        <v>0</v>
      </c>
      <c r="C83" s="1438">
        <f>IF(D57=1,AI83,IF(D57=2,AM83,IF(D57=3,AQ83,IF(D57=4,AU83))))</f>
        <v>0</v>
      </c>
      <c r="D83" s="1439">
        <f>IF(D57=1,AG83,IF(D57=2,AK83,IF(D57=3,AO83,IF(D57=4,AS83))))</f>
        <v>0</v>
      </c>
      <c r="E83" s="1440" t="str">
        <f>IF(D57=1,"",IF(D83=F83,"",AD83))</f>
        <v/>
      </c>
      <c r="F83" s="1441" t="str">
        <f>IF(D57=1,"",IF(D57=2,AJ83,IF(D57=3,AN83,IF(D57=4,AR83))))</f>
        <v/>
      </c>
      <c r="G83" s="22">
        <f t="shared" si="13"/>
        <v>0</v>
      </c>
      <c r="H83" s="22"/>
      <c r="I83" s="2545"/>
      <c r="J83" s="9">
        <v>23</v>
      </c>
      <c r="K83" s="15"/>
      <c r="L83" s="15"/>
      <c r="M83" s="15"/>
      <c r="N83" s="15"/>
      <c r="O83" s="15"/>
      <c r="P83" s="15"/>
      <c r="Q83" s="2542"/>
      <c r="S83" s="1283"/>
      <c r="T83" s="1282"/>
      <c r="U83" s="1284"/>
      <c r="V83" s="19"/>
      <c r="W83" s="626">
        <f t="shared" si="14"/>
        <v>0</v>
      </c>
      <c r="X83" s="331">
        <f>(W83/W90)*X58</f>
        <v>0</v>
      </c>
      <c r="Y83" s="18" t="str">
        <f>IF(ISBLANK(S83),"",(S83/W90)*X58)</f>
        <v/>
      </c>
      <c r="Z83" s="594">
        <f t="shared" si="23"/>
        <v>0</v>
      </c>
      <c r="AA83" s="1365">
        <f>W83/W90</f>
        <v>0</v>
      </c>
      <c r="AB83" s="630"/>
      <c r="AC83" s="624">
        <f>AB58</f>
        <v>0</v>
      </c>
      <c r="AD83" s="624">
        <f t="shared" si="20"/>
        <v>0</v>
      </c>
      <c r="AE83" s="1366">
        <f t="shared" si="21"/>
        <v>1</v>
      </c>
      <c r="AG83" s="623">
        <f>((W83/W58)*AI58)</f>
        <v>0</v>
      </c>
      <c r="AH83" s="18">
        <f>IF(ISTEXT(S83),S83,IF(ISBLANK(S83),0,(S83/W58)*AI58))</f>
        <v>0</v>
      </c>
      <c r="AI83" s="17">
        <f t="shared" si="15"/>
        <v>0</v>
      </c>
      <c r="AJ83" s="1413">
        <f t="shared" si="16"/>
        <v>0</v>
      </c>
      <c r="AK83" s="646">
        <f>(W83/W58)*AM58</f>
        <v>0</v>
      </c>
      <c r="AL83" s="18">
        <f>IF(ISBLANK(S83),0,(S83/W58)*AM58)</f>
        <v>0</v>
      </c>
      <c r="AM83" s="594">
        <f t="shared" si="17"/>
        <v>0</v>
      </c>
      <c r="AN83" s="646">
        <f t="shared" si="22"/>
        <v>0</v>
      </c>
      <c r="AO83" s="715">
        <f t="shared" si="18"/>
        <v>0</v>
      </c>
      <c r="AP83" s="18">
        <f>IF(ISBLANK(S83),0,(S83/W90)*AO91)</f>
        <v>0</v>
      </c>
      <c r="AQ83" s="594">
        <f t="shared" si="19"/>
        <v>0</v>
      </c>
      <c r="AR83" s="649" t="s">
        <v>588</v>
      </c>
      <c r="AS83" s="648" t="s">
        <v>589</v>
      </c>
      <c r="AT83" s="648" t="s">
        <v>587</v>
      </c>
      <c r="AU83" s="648">
        <v>3</v>
      </c>
    </row>
    <row r="84" spans="1:47" ht="18.95" customHeight="1">
      <c r="A84" s="2454"/>
      <c r="B84" s="1437">
        <f>IF(D57=1,AH84,IF(D57=2,AL84,IF(D57=3,AP84,IF(D57=4,AT84))))</f>
        <v>0</v>
      </c>
      <c r="C84" s="1438">
        <f>IF(D57=1,AI84,IF(D57=2,AM84,IF(D57=3,AQ84,IF(D57=4,AU84))))</f>
        <v>0</v>
      </c>
      <c r="D84" s="1439">
        <f>IF(D57=1,AG84,IF(D57=2,AK84,IF(D57=3,AO84,IF(D57=4,AS84))))</f>
        <v>0</v>
      </c>
      <c r="E84" s="1440" t="str">
        <f>IF(D57=1,"",IF(D84=F84,"",AD84))</f>
        <v/>
      </c>
      <c r="F84" s="1441" t="str">
        <f>IF(D57=1,"",IF(D57=2,AJ84,IF(D57=3,AN84,IF(D57=4,AR84))))</f>
        <v/>
      </c>
      <c r="G84" s="22">
        <f t="shared" si="13"/>
        <v>0</v>
      </c>
      <c r="H84" s="22"/>
      <c r="I84" s="2545"/>
      <c r="J84" s="9">
        <v>24</v>
      </c>
      <c r="K84" s="15"/>
      <c r="L84" s="15"/>
      <c r="M84" s="15"/>
      <c r="N84" s="15"/>
      <c r="O84" s="15"/>
      <c r="P84" s="15"/>
      <c r="Q84" s="2542"/>
      <c r="S84" s="1283"/>
      <c r="T84" s="1282"/>
      <c r="U84" s="1284"/>
      <c r="V84" s="19"/>
      <c r="W84" s="626">
        <f t="shared" si="14"/>
        <v>0</v>
      </c>
      <c r="X84" s="331">
        <f>(W84/W90)*X58</f>
        <v>0</v>
      </c>
      <c r="Y84" s="18" t="str">
        <f>IF(ISBLANK(S84),"",(S84/W90)*X58)</f>
        <v/>
      </c>
      <c r="Z84" s="594">
        <f t="shared" si="23"/>
        <v>0</v>
      </c>
      <c r="AA84" s="1365">
        <f>W84/W90</f>
        <v>0</v>
      </c>
      <c r="AB84" s="630"/>
      <c r="AC84" s="624">
        <f>AB58</f>
        <v>0</v>
      </c>
      <c r="AD84" s="624">
        <f t="shared" si="20"/>
        <v>0</v>
      </c>
      <c r="AE84" s="1366">
        <f t="shared" si="21"/>
        <v>1</v>
      </c>
      <c r="AG84" s="623">
        <f>((W84/W58)*AI58)</f>
        <v>0</v>
      </c>
      <c r="AH84" s="18">
        <f>IF(ISTEXT(S84),S84,IF(ISBLANK(S84),0,(S84/W58)*AI58))</f>
        <v>0</v>
      </c>
      <c r="AI84" s="17">
        <f t="shared" si="15"/>
        <v>0</v>
      </c>
      <c r="AJ84" s="1413">
        <f t="shared" si="16"/>
        <v>0</v>
      </c>
      <c r="AK84" s="646">
        <f>(W84/W58)*AM58</f>
        <v>0</v>
      </c>
      <c r="AL84" s="18">
        <f>IF(ISBLANK(S84),0,(S84/W58)*AM58)</f>
        <v>0</v>
      </c>
      <c r="AM84" s="594">
        <f t="shared" si="17"/>
        <v>0</v>
      </c>
      <c r="AN84" s="646">
        <f t="shared" si="22"/>
        <v>0</v>
      </c>
      <c r="AO84" s="715">
        <f t="shared" si="18"/>
        <v>0</v>
      </c>
      <c r="AP84" s="18">
        <f>IF(ISBLANK(S84),0,(S84/W90)*AO91)</f>
        <v>0</v>
      </c>
      <c r="AQ84" s="594">
        <f t="shared" si="19"/>
        <v>0</v>
      </c>
      <c r="AR84" s="649" t="s">
        <v>588</v>
      </c>
      <c r="AS84" s="648" t="s">
        <v>589</v>
      </c>
      <c r="AT84" s="648" t="s">
        <v>587</v>
      </c>
      <c r="AU84" s="648">
        <v>3</v>
      </c>
    </row>
    <row r="85" spans="1:47" ht="18.95" customHeight="1">
      <c r="A85" s="2454"/>
      <c r="B85" s="1437">
        <f>IF(D57=1,AH85,IF(D57=2,AL85,IF(D57=3,AP85,IF(D57=4,AT85))))</f>
        <v>0</v>
      </c>
      <c r="C85" s="1438">
        <f>IF(D57=1,AI85,IF(D57=2,AM85,IF(D57=3,AQ85,IF(D57=4,AU85))))</f>
        <v>0</v>
      </c>
      <c r="D85" s="1439">
        <f>IF(D57=1,AG85,IF(D57=2,AK85,IF(D57=3,AO85,IF(D57=4,AS85))))</f>
        <v>0</v>
      </c>
      <c r="E85" s="1440" t="str">
        <f>IF(D57=1,"",IF(D85=F85,"",AD85))</f>
        <v/>
      </c>
      <c r="F85" s="1441" t="str">
        <f>IF(D57=1,"",IF(D57=2,AJ85,IF(D57=3,AN85,IF(D57=4,AR85))))</f>
        <v/>
      </c>
      <c r="G85" s="22">
        <f t="shared" si="13"/>
        <v>0</v>
      </c>
      <c r="H85" s="22"/>
      <c r="I85" s="2545"/>
      <c r="J85" s="9">
        <v>25</v>
      </c>
      <c r="K85" s="15"/>
      <c r="L85" s="15"/>
      <c r="M85" s="15"/>
      <c r="N85" s="15"/>
      <c r="O85" s="15"/>
      <c r="P85" s="15"/>
      <c r="Q85" s="2542"/>
      <c r="S85" s="1283"/>
      <c r="T85" s="1282"/>
      <c r="U85" s="1284"/>
      <c r="V85" s="19"/>
      <c r="W85" s="626">
        <f t="shared" si="14"/>
        <v>0</v>
      </c>
      <c r="X85" s="331">
        <f>(W85/W90)*X58</f>
        <v>0</v>
      </c>
      <c r="Y85" s="18" t="str">
        <f>IF(ISBLANK(S85),"",(S85/W90)*X58)</f>
        <v/>
      </c>
      <c r="Z85" s="594">
        <f t="shared" si="23"/>
        <v>0</v>
      </c>
      <c r="AA85" s="1365">
        <f>W85/W90</f>
        <v>0</v>
      </c>
      <c r="AB85" s="630"/>
      <c r="AC85" s="624">
        <f>AB58</f>
        <v>0</v>
      </c>
      <c r="AD85" s="624">
        <f t="shared" si="20"/>
        <v>0</v>
      </c>
      <c r="AE85" s="1366">
        <f t="shared" si="21"/>
        <v>1</v>
      </c>
      <c r="AG85" s="623">
        <f>((W85/W58)*AI58)</f>
        <v>0</v>
      </c>
      <c r="AH85" s="18">
        <f>IF(ISTEXT(S85),S85,IF(ISBLANK(S85),0,(S85/W58)*AI58))</f>
        <v>0</v>
      </c>
      <c r="AI85" s="17">
        <f t="shared" si="15"/>
        <v>0</v>
      </c>
      <c r="AJ85" s="1413">
        <f t="shared" si="16"/>
        <v>0</v>
      </c>
      <c r="AK85" s="646">
        <f>(W85/W58)*AM58</f>
        <v>0</v>
      </c>
      <c r="AL85" s="18">
        <f>IF(ISBLANK(S85),0,(S85/W58)*AM58)</f>
        <v>0</v>
      </c>
      <c r="AM85" s="594">
        <f t="shared" si="17"/>
        <v>0</v>
      </c>
      <c r="AN85" s="646">
        <f t="shared" si="22"/>
        <v>0</v>
      </c>
      <c r="AO85" s="715">
        <f t="shared" si="18"/>
        <v>0</v>
      </c>
      <c r="AP85" s="18">
        <f>IF(ISBLANK(S85),0,(S85/W90)*AO91)</f>
        <v>0</v>
      </c>
      <c r="AQ85" s="594">
        <f t="shared" si="19"/>
        <v>0</v>
      </c>
      <c r="AR85" s="649" t="s">
        <v>588</v>
      </c>
      <c r="AS85" s="648" t="s">
        <v>589</v>
      </c>
      <c r="AT85" s="648" t="s">
        <v>587</v>
      </c>
      <c r="AU85" s="648">
        <v>3</v>
      </c>
    </row>
    <row r="86" spans="1:47" ht="18.95" customHeight="1">
      <c r="A86" s="2454"/>
      <c r="B86" s="1437">
        <f>IF(D57=1,AH86,IF(D57=2,AL86,IF(D57=3,AP86,IF(D57=4,AT86))))</f>
        <v>0</v>
      </c>
      <c r="C86" s="1438">
        <f>IF(D57=1,AI86,IF(D57=2,AM86,IF(D57=3,AQ86,IF(D57=4,AU86))))</f>
        <v>0</v>
      </c>
      <c r="D86" s="1439">
        <f>IF(D57=1,AG86,IF(D57=2,AK86,IF(D57=3,AO86,IF(D57=4,AS86))))</f>
        <v>0</v>
      </c>
      <c r="E86" s="1440" t="str">
        <f>IF(D57=1,"",IF(D86=F86,"",AD86))</f>
        <v/>
      </c>
      <c r="F86" s="1441" t="str">
        <f>IF(D57=1,"",IF(D57=2,AJ86,IF(D57=3,AN86,IF(D57=4,AR86))))</f>
        <v/>
      </c>
      <c r="G86" s="22">
        <f t="shared" si="13"/>
        <v>0</v>
      </c>
      <c r="H86" s="22"/>
      <c r="I86" s="2545"/>
      <c r="J86" s="9">
        <v>26</v>
      </c>
      <c r="K86" s="15"/>
      <c r="L86" s="15"/>
      <c r="M86" s="15"/>
      <c r="N86" s="15"/>
      <c r="O86" s="15"/>
      <c r="P86" s="15"/>
      <c r="Q86" s="2542"/>
      <c r="S86" s="1283"/>
      <c r="T86" s="1282"/>
      <c r="U86" s="1284"/>
      <c r="V86" s="19"/>
      <c r="W86" s="626">
        <f t="shared" si="14"/>
        <v>0</v>
      </c>
      <c r="X86" s="331">
        <f>(W86/W90)*X58</f>
        <v>0</v>
      </c>
      <c r="Y86" s="18" t="str">
        <f>IF(ISBLANK(S86),"",(S86/W90)*X58)</f>
        <v/>
      </c>
      <c r="Z86" s="594">
        <f t="shared" si="23"/>
        <v>0</v>
      </c>
      <c r="AA86" s="1365">
        <f>W86/W90</f>
        <v>0</v>
      </c>
      <c r="AB86" s="630"/>
      <c r="AC86" s="624">
        <f>AB58</f>
        <v>0</v>
      </c>
      <c r="AD86" s="624">
        <f t="shared" si="20"/>
        <v>0</v>
      </c>
      <c r="AE86" s="1366">
        <f t="shared" si="21"/>
        <v>1</v>
      </c>
      <c r="AG86" s="623">
        <f>((W86/W58)*AI58)</f>
        <v>0</v>
      </c>
      <c r="AH86" s="18">
        <f>IF(ISTEXT(S86),S86,IF(ISBLANK(S86),0,(S86/W58)*AI58))</f>
        <v>0</v>
      </c>
      <c r="AI86" s="17">
        <f t="shared" si="15"/>
        <v>0</v>
      </c>
      <c r="AJ86" s="1413">
        <f t="shared" si="16"/>
        <v>0</v>
      </c>
      <c r="AK86" s="646">
        <f>(W86/W58)*AM58</f>
        <v>0</v>
      </c>
      <c r="AL86" s="18">
        <f>IF(ISBLANK(S86),0,(S86/W58)*AM58)</f>
        <v>0</v>
      </c>
      <c r="AM86" s="594">
        <f t="shared" si="17"/>
        <v>0</v>
      </c>
      <c r="AN86" s="646">
        <f t="shared" si="22"/>
        <v>0</v>
      </c>
      <c r="AO86" s="715">
        <f t="shared" si="18"/>
        <v>0</v>
      </c>
      <c r="AP86" s="18">
        <f>IF(ISBLANK(S86),0,(S86/W90)*AO91)</f>
        <v>0</v>
      </c>
      <c r="AQ86" s="594">
        <f t="shared" si="19"/>
        <v>0</v>
      </c>
      <c r="AR86" s="649" t="s">
        <v>588</v>
      </c>
      <c r="AS86" s="648" t="s">
        <v>589</v>
      </c>
      <c r="AT86" s="648" t="s">
        <v>587</v>
      </c>
      <c r="AU86" s="648">
        <v>3</v>
      </c>
    </row>
    <row r="87" spans="1:47" ht="18.95" customHeight="1">
      <c r="A87" s="2454"/>
      <c r="B87" s="1437">
        <f>IF(D57=1,AH87,IF(D57=2,AL87,IF(D57=3,AP87,IF(D57=4,AT87))))</f>
        <v>0</v>
      </c>
      <c r="C87" s="1438">
        <f>IF(D57=1,AI87,IF(D57=2,AM87,IF(D57=3,AQ87,IF(D57=4,AU87))))</f>
        <v>0</v>
      </c>
      <c r="D87" s="1439">
        <f>IF(D57=1,AG87,IF(D57=2,AK87,IF(D57=3,AO87,IF(D57=4,AS87))))</f>
        <v>0</v>
      </c>
      <c r="E87" s="1440" t="str">
        <f>IF(D57=1,"",IF(D87=F87,"",AD87))</f>
        <v/>
      </c>
      <c r="F87" s="1441" t="str">
        <f>IF(D57=1,"",IF(D57=2,AJ87,IF(D57=3,AN87,IF(D57=4,AR87))))</f>
        <v/>
      </c>
      <c r="G87" s="22">
        <f t="shared" si="13"/>
        <v>0</v>
      </c>
      <c r="H87" s="22"/>
      <c r="I87" s="2545"/>
      <c r="J87" s="9">
        <v>27</v>
      </c>
      <c r="K87" s="21" t="s">
        <v>28</v>
      </c>
      <c r="L87" s="15"/>
      <c r="M87" s="15"/>
      <c r="N87" s="15"/>
      <c r="O87" s="15"/>
      <c r="P87" s="15"/>
      <c r="Q87" s="2542"/>
      <c r="S87" s="1283"/>
      <c r="T87" s="1282"/>
      <c r="U87" s="1284"/>
      <c r="V87" s="19"/>
      <c r="W87" s="626">
        <f t="shared" si="14"/>
        <v>0</v>
      </c>
      <c r="X87" s="331">
        <f>(W87/W90)*X58</f>
        <v>0</v>
      </c>
      <c r="Y87" s="18" t="str">
        <f>IF(ISBLANK(S87),"",(S87/W90)*X58)</f>
        <v/>
      </c>
      <c r="Z87" s="594">
        <f t="shared" si="23"/>
        <v>0</v>
      </c>
      <c r="AA87" s="1365">
        <f>W87/W90</f>
        <v>0</v>
      </c>
      <c r="AB87" s="630"/>
      <c r="AC87" s="624">
        <f>AB58</f>
        <v>0</v>
      </c>
      <c r="AD87" s="624">
        <f t="shared" si="20"/>
        <v>0</v>
      </c>
      <c r="AE87" s="1366">
        <f t="shared" si="21"/>
        <v>1</v>
      </c>
      <c r="AG87" s="623">
        <f>((W87/W58)*AI58)</f>
        <v>0</v>
      </c>
      <c r="AH87" s="18">
        <f>IF(ISTEXT(S87),S87,IF(ISBLANK(S87),0,(S87/W58)*AI58))</f>
        <v>0</v>
      </c>
      <c r="AI87" s="17">
        <f t="shared" si="15"/>
        <v>0</v>
      </c>
      <c r="AJ87" s="1413">
        <f t="shared" si="16"/>
        <v>0</v>
      </c>
      <c r="AK87" s="646">
        <f>(W87/W58)*AM58</f>
        <v>0</v>
      </c>
      <c r="AL87" s="18">
        <f>IF(ISBLANK(S87),0,(S87/W58)*AM58)</f>
        <v>0</v>
      </c>
      <c r="AM87" s="594">
        <f t="shared" si="17"/>
        <v>0</v>
      </c>
      <c r="AN87" s="646">
        <f t="shared" si="22"/>
        <v>0</v>
      </c>
      <c r="AO87" s="715">
        <f t="shared" si="18"/>
        <v>0</v>
      </c>
      <c r="AP87" s="18">
        <f>IF(ISBLANK(S87),0,(S87/W90)*AO91)</f>
        <v>0</v>
      </c>
      <c r="AQ87" s="594">
        <f t="shared" si="19"/>
        <v>0</v>
      </c>
      <c r="AR87" s="649" t="s">
        <v>588</v>
      </c>
      <c r="AS87" s="648" t="s">
        <v>589</v>
      </c>
      <c r="AT87" s="648" t="s">
        <v>587</v>
      </c>
      <c r="AU87" s="648">
        <v>3</v>
      </c>
    </row>
    <row r="88" spans="1:47" ht="18.95" customHeight="1">
      <c r="A88" s="2454"/>
      <c r="B88" s="1437">
        <f>IF(D57=1,AH88,IF(D57=2,AL88,IF(D57=3,AP88,IF(D57=4,AT88))))</f>
        <v>0</v>
      </c>
      <c r="C88" s="1438">
        <f>IF(D57=1,AI88,IF(D57=2,AM88,IF(D57=3,AQ88,IF(D57=4,AU88))))</f>
        <v>0</v>
      </c>
      <c r="D88" s="1439">
        <f>IF(D57=1,AG88,IF(D57=2,AK88,IF(D57=3,AO88,IF(D57=4,AS88))))</f>
        <v>0</v>
      </c>
      <c r="E88" s="1440" t="str">
        <f>IF(D57=1,"",IF(D88=F88,"",AD88))</f>
        <v/>
      </c>
      <c r="F88" s="1441" t="str">
        <f>IF(D57=1,"",IF(D57=2,AJ88,IF(D57=3,AN88,IF(D57=4,AR88))))</f>
        <v/>
      </c>
      <c r="G88" s="22">
        <f t="shared" si="13"/>
        <v>0</v>
      </c>
      <c r="H88" s="22"/>
      <c r="I88" s="2545"/>
      <c r="J88" s="9">
        <v>28</v>
      </c>
      <c r="K88" s="16" t="s">
        <v>23</v>
      </c>
      <c r="L88" s="15"/>
      <c r="M88" s="15"/>
      <c r="N88" s="15"/>
      <c r="O88" s="15"/>
      <c r="P88" s="15"/>
      <c r="Q88" s="2542"/>
      <c r="S88" s="1283"/>
      <c r="T88" s="1282"/>
      <c r="U88" s="1284"/>
      <c r="V88" s="19"/>
      <c r="W88" s="626">
        <f t="shared" si="14"/>
        <v>0</v>
      </c>
      <c r="X88" s="331">
        <f>(W88/W90)*X58</f>
        <v>0</v>
      </c>
      <c r="Y88" s="18" t="str">
        <f>IF(ISBLANK(S88),"",(S88/W90)*X58)</f>
        <v/>
      </c>
      <c r="Z88" s="594">
        <f t="shared" si="23"/>
        <v>0</v>
      </c>
      <c r="AA88" s="1365">
        <f>W88/W90</f>
        <v>0</v>
      </c>
      <c r="AB88" s="630"/>
      <c r="AC88" s="624">
        <f>AB58</f>
        <v>0</v>
      </c>
      <c r="AD88" s="624">
        <f t="shared" si="20"/>
        <v>0</v>
      </c>
      <c r="AE88" s="1366">
        <f t="shared" si="21"/>
        <v>1</v>
      </c>
      <c r="AG88" s="623">
        <f>((W88/W58)*AI58)</f>
        <v>0</v>
      </c>
      <c r="AH88" s="18">
        <f>IF(ISTEXT(S88),S88,IF(ISBLANK(S88),0,(S88/W58)*AI58))</f>
        <v>0</v>
      </c>
      <c r="AI88" s="17">
        <f t="shared" si="15"/>
        <v>0</v>
      </c>
      <c r="AJ88" s="1413">
        <f t="shared" si="16"/>
        <v>0</v>
      </c>
      <c r="AK88" s="646">
        <f>(W88/W58)*AM58</f>
        <v>0</v>
      </c>
      <c r="AL88" s="18">
        <f>IF(ISBLANK(S88),0,(S88/W58)*AM58)</f>
        <v>0</v>
      </c>
      <c r="AM88" s="594">
        <f t="shared" si="17"/>
        <v>0</v>
      </c>
      <c r="AN88" s="646">
        <f t="shared" si="22"/>
        <v>0</v>
      </c>
      <c r="AO88" s="715">
        <f t="shared" si="18"/>
        <v>0</v>
      </c>
      <c r="AP88" s="18">
        <f>IF(ISBLANK(S88),0,(S88/W90)*AO91)</f>
        <v>0</v>
      </c>
      <c r="AQ88" s="594">
        <f t="shared" si="19"/>
        <v>0</v>
      </c>
      <c r="AR88" s="649" t="s">
        <v>588</v>
      </c>
      <c r="AS88" s="648" t="s">
        <v>589</v>
      </c>
      <c r="AT88" s="648" t="s">
        <v>587</v>
      </c>
      <c r="AU88" s="648">
        <v>3</v>
      </c>
    </row>
    <row r="89" spans="1:47" ht="18.95" customHeight="1">
      <c r="A89" s="2454"/>
      <c r="B89" s="1437">
        <f>IF(D57=1,AH89,IF(D57=2,AL89,IF(D57=3,AP89,IF(D57=4,AT89))))</f>
        <v>0</v>
      </c>
      <c r="C89" s="1438">
        <f>IF(D57=1,AI89,IF(D57=2,AM89,IF(D57=3,AQ89,IF(D57=4,AU89))))</f>
        <v>0</v>
      </c>
      <c r="D89" s="1439">
        <f>IF(D57=1,AG89,IF(D57=2,AK89,IF(D57=3,AO89,IF(D57=4,AS89))))</f>
        <v>0</v>
      </c>
      <c r="E89" s="1440" t="str">
        <f>IF(D57=1,"",IF(D89=F89,"",AD89))</f>
        <v/>
      </c>
      <c r="F89" s="1441" t="str">
        <f>IF(D57=1,"",IF(D57=2,AJ89,IF(D57=3,AN89,IF(D57=4,AR89))))</f>
        <v/>
      </c>
      <c r="G89" s="22">
        <f t="shared" si="13"/>
        <v>0</v>
      </c>
      <c r="H89" s="22"/>
      <c r="I89" s="2545"/>
      <c r="J89" s="9">
        <v>29</v>
      </c>
      <c r="K89" s="8" t="s">
        <v>15</v>
      </c>
      <c r="L89" s="7" t="s">
        <v>9</v>
      </c>
      <c r="M89" s="7"/>
      <c r="N89" s="7"/>
      <c r="O89" s="6"/>
      <c r="P89" s="15"/>
      <c r="Q89" s="2542"/>
      <c r="S89" s="1283"/>
      <c r="T89" s="1282"/>
      <c r="U89" s="1284"/>
      <c r="V89" s="19"/>
      <c r="W89" s="626">
        <f t="shared" si="14"/>
        <v>0</v>
      </c>
      <c r="X89" s="331">
        <f>(W89/W90)*X58</f>
        <v>0</v>
      </c>
      <c r="Y89" s="18" t="str">
        <f>IF(ISBLANK(S89),"",(S89/W90)*X58)</f>
        <v/>
      </c>
      <c r="Z89" s="594">
        <f t="shared" si="23"/>
        <v>0</v>
      </c>
      <c r="AA89" s="1365">
        <f>W89/W90</f>
        <v>0</v>
      </c>
      <c r="AB89" s="630"/>
      <c r="AC89" s="624">
        <f>AB58</f>
        <v>0</v>
      </c>
      <c r="AD89" s="624">
        <f t="shared" si="20"/>
        <v>0</v>
      </c>
      <c r="AE89" s="1366">
        <f t="shared" si="21"/>
        <v>1</v>
      </c>
      <c r="AG89" s="623">
        <f>((W89/W58)*AI58)</f>
        <v>0</v>
      </c>
      <c r="AH89" s="18">
        <f>IF(ISTEXT(S89),S89,IF(ISBLANK(S89),0,(S89/W58)*AI58))</f>
        <v>0</v>
      </c>
      <c r="AI89" s="17">
        <f t="shared" si="15"/>
        <v>0</v>
      </c>
      <c r="AJ89" s="1413">
        <f t="shared" si="16"/>
        <v>0</v>
      </c>
      <c r="AK89" s="646">
        <f>(W89/W58)*AM58</f>
        <v>0</v>
      </c>
      <c r="AL89" s="18">
        <f>IF(ISBLANK(S89),0,(S89/W58)*AM58)</f>
        <v>0</v>
      </c>
      <c r="AM89" s="594">
        <f t="shared" si="17"/>
        <v>0</v>
      </c>
      <c r="AN89" s="646">
        <f t="shared" si="22"/>
        <v>0</v>
      </c>
      <c r="AO89" s="715">
        <f t="shared" si="18"/>
        <v>0</v>
      </c>
      <c r="AP89" s="18">
        <f>IF(ISBLANK(S89),0,(S89/W90)*AO91)</f>
        <v>0</v>
      </c>
      <c r="AQ89" s="594">
        <f t="shared" si="19"/>
        <v>0</v>
      </c>
      <c r="AR89" s="649" t="s">
        <v>588</v>
      </c>
      <c r="AS89" s="648" t="s">
        <v>589</v>
      </c>
      <c r="AT89" s="648" t="s">
        <v>587</v>
      </c>
      <c r="AU89" s="648">
        <v>3</v>
      </c>
    </row>
    <row r="90" spans="1:47" ht="18.95" customHeight="1">
      <c r="A90" s="2454"/>
      <c r="B90" s="606" t="s">
        <v>22</v>
      </c>
      <c r="C90" s="606" t="s">
        <v>575</v>
      </c>
      <c r="D90" s="606" t="s">
        <v>585</v>
      </c>
      <c r="E90" s="635" t="s">
        <v>583</v>
      </c>
      <c r="F90" s="606" t="s">
        <v>584</v>
      </c>
      <c r="G90" s="606"/>
      <c r="H90" s="606"/>
      <c r="I90" s="2545"/>
      <c r="J90" s="606"/>
      <c r="K90" s="606"/>
      <c r="L90" s="606"/>
      <c r="M90" s="606"/>
      <c r="N90" s="606"/>
      <c r="O90" s="606"/>
      <c r="P90" s="606"/>
      <c r="Q90" s="2542"/>
      <c r="S90" s="14"/>
      <c r="T90" s="13"/>
      <c r="U90" s="653">
        <f>SUM(U59:U89)/1000</f>
        <v>0.435</v>
      </c>
      <c r="V90" s="13"/>
      <c r="W90" s="627">
        <f>SUM(W60:W89)</f>
        <v>810</v>
      </c>
      <c r="X90" s="597"/>
      <c r="Y90" s="597"/>
      <c r="Z90" s="598"/>
      <c r="AA90" s="632"/>
      <c r="AB90" s="1296">
        <f>COUNTIF(AD60:AD89,"&gt;0")</f>
        <v>0</v>
      </c>
      <c r="AC90" s="631"/>
      <c r="AD90" s="621"/>
      <c r="AE90" s="598"/>
      <c r="AG90" s="607" t="s">
        <v>22</v>
      </c>
      <c r="AH90" s="621"/>
      <c r="AI90" s="621"/>
      <c r="AJ90" s="607" t="s">
        <v>22</v>
      </c>
      <c r="AK90" s="606" t="s">
        <v>22</v>
      </c>
      <c r="AL90" s="606" t="s">
        <v>225</v>
      </c>
      <c r="AM90" s="604" t="s">
        <v>575</v>
      </c>
      <c r="AN90" s="607" t="s">
        <v>22</v>
      </c>
      <c r="AO90" s="606" t="s">
        <v>22</v>
      </c>
      <c r="AP90" s="606" t="s">
        <v>225</v>
      </c>
      <c r="AQ90" s="604" t="s">
        <v>575</v>
      </c>
      <c r="AR90" s="606"/>
      <c r="AS90" s="618"/>
      <c r="AT90" s="606"/>
      <c r="AU90" s="606"/>
    </row>
    <row r="91" spans="1:47" ht="18.95" customHeight="1">
      <c r="A91" s="2454"/>
      <c r="B91" s="5">
        <f>SUM(B60:B89)</f>
        <v>268.75</v>
      </c>
      <c r="C91" s="3" t="str">
        <f>IF((F91)=0,"",(D91-F91))</f>
        <v/>
      </c>
      <c r="D91" s="3">
        <f>SUM(D60:D89)</f>
        <v>10125</v>
      </c>
      <c r="E91" s="636" t="e">
        <f>C91/D91</f>
        <v>#VALUE!</v>
      </c>
      <c r="F91" s="3">
        <f>SUM(F60:F89)</f>
        <v>0</v>
      </c>
      <c r="G91" s="1429" t="s">
        <v>1727</v>
      </c>
      <c r="H91" s="606"/>
      <c r="I91" s="2545"/>
      <c r="J91" s="606"/>
      <c r="K91" s="606"/>
      <c r="L91" s="606"/>
      <c r="M91" s="606"/>
      <c r="N91" s="606"/>
      <c r="O91" s="606"/>
      <c r="P91" s="606"/>
      <c r="Q91" s="2542"/>
      <c r="S91" s="2541" t="s">
        <v>6</v>
      </c>
      <c r="T91" s="787" t="s">
        <v>5</v>
      </c>
      <c r="U91" s="1072" t="s">
        <v>437</v>
      </c>
      <c r="V91" s="1368"/>
      <c r="W91" s="1369"/>
      <c r="X91" s="3">
        <f>SUM(X60:X90)</f>
        <v>1000</v>
      </c>
      <c r="Y91" s="5">
        <f>SUM(Y60:Y90)</f>
        <v>26.543209876543205</v>
      </c>
      <c r="Z91" s="599" t="s">
        <v>14</v>
      </c>
      <c r="AA91" s="633"/>
      <c r="AB91" s="1111"/>
      <c r="AC91" s="1111"/>
      <c r="AD91" s="1112"/>
      <c r="AE91" s="1113"/>
      <c r="AG91" s="647">
        <f>SUM(AG60:AG89)</f>
        <v>10125</v>
      </c>
      <c r="AH91" s="4"/>
      <c r="AI91" s="4"/>
      <c r="AJ91" s="647">
        <f>SUM(AJ60:AJ89)</f>
        <v>10125</v>
      </c>
      <c r="AK91" s="3">
        <f>SUM(AK60:AK89)</f>
        <v>10125</v>
      </c>
      <c r="AL91" s="605">
        <f>(AM91/AK91%)</f>
        <v>0</v>
      </c>
      <c r="AM91" s="596">
        <f>AK91-AJ91</f>
        <v>0</v>
      </c>
      <c r="AN91" s="595">
        <f>SUM(AN60:AN89)</f>
        <v>10125</v>
      </c>
      <c r="AO91" s="3">
        <f>SUM(AO60:AO89)</f>
        <v>10125</v>
      </c>
      <c r="AP91" s="717">
        <f>(AQ91/AO91%)</f>
        <v>0</v>
      </c>
      <c r="AQ91" s="596">
        <f>AO91-AN91</f>
        <v>0</v>
      </c>
      <c r="AR91" s="650"/>
      <c r="AS91" s="651"/>
      <c r="AT91" s="650"/>
      <c r="AU91" s="652"/>
    </row>
    <row r="92" spans="1:47" ht="18.95" customHeight="1">
      <c r="B92" s="1508"/>
      <c r="C92" s="1508"/>
      <c r="D92" s="1508"/>
      <c r="E92" s="1509"/>
      <c r="F92" s="1508"/>
      <c r="G92" s="1508"/>
      <c r="H92" s="1508"/>
      <c r="I92" s="1087" t="s">
        <v>818</v>
      </c>
      <c r="J92" s="1508"/>
      <c r="K92" s="1508"/>
      <c r="L92" s="1508"/>
      <c r="M92" s="1509"/>
      <c r="N92" s="1508"/>
      <c r="O92" s="1508"/>
      <c r="P92" s="1508"/>
      <c r="Q92" s="1087" t="s">
        <v>818</v>
      </c>
      <c r="S92" s="2505"/>
      <c r="T92" s="1285" t="s">
        <v>5</v>
      </c>
      <c r="U92" s="1285"/>
      <c r="V92" s="1285"/>
      <c r="W92" s="789"/>
      <c r="X92" s="785"/>
      <c r="Y92" s="786"/>
      <c r="Z92" s="775"/>
      <c r="AA92" s="775"/>
      <c r="AB92" s="775"/>
      <c r="AC92" s="775"/>
      <c r="AD92" s="775"/>
      <c r="AE92" s="775"/>
      <c r="AG92" s="778"/>
      <c r="AH92" s="778"/>
      <c r="AI92" s="778"/>
      <c r="AJ92" s="778"/>
      <c r="AK92" s="778"/>
      <c r="AL92" s="778"/>
      <c r="AM92" s="778"/>
      <c r="AN92" s="778"/>
      <c r="AO92" s="778"/>
      <c r="AP92" s="778"/>
      <c r="AQ92" s="778"/>
      <c r="AR92" s="778"/>
      <c r="AS92" s="778"/>
      <c r="AT92" s="778"/>
      <c r="AU92" s="778"/>
    </row>
    <row r="93" spans="1:47" ht="15.75" thickBot="1"/>
    <row r="94" spans="1:47" ht="15.75">
      <c r="W94" s="2413" t="s">
        <v>726</v>
      </c>
      <c r="X94" s="2414"/>
      <c r="Y94" s="2414"/>
      <c r="Z94" s="2414"/>
      <c r="AA94" s="2414"/>
      <c r="AB94" s="2415"/>
    </row>
    <row r="95" spans="1:47">
      <c r="W95" s="2516" t="s">
        <v>722</v>
      </c>
      <c r="X95" s="2417"/>
      <c r="Y95" s="725" t="s">
        <v>725</v>
      </c>
      <c r="Z95" s="1333" t="s">
        <v>721</v>
      </c>
      <c r="AA95" s="2418" t="s">
        <v>66</v>
      </c>
      <c r="AB95" s="2419"/>
    </row>
    <row r="96" spans="1:47">
      <c r="W96" s="2429">
        <v>20</v>
      </c>
      <c r="X96" s="2424">
        <f>W96/100</f>
        <v>0.2</v>
      </c>
      <c r="Y96" s="1068" t="s">
        <v>206</v>
      </c>
      <c r="Z96" s="724">
        <v>1</v>
      </c>
      <c r="AA96" s="1107">
        <f>(W96*Z96)*10</f>
        <v>200</v>
      </c>
      <c r="AB96" s="1109">
        <f>AA96/1000</f>
        <v>0.2</v>
      </c>
    </row>
    <row r="97" spans="23:28">
      <c r="W97" s="2429"/>
      <c r="X97" s="2424"/>
      <c r="Y97" s="1068" t="s">
        <v>727</v>
      </c>
      <c r="Z97" s="724">
        <v>1.03</v>
      </c>
      <c r="AA97" s="1107">
        <f>(W96*Z97)*10</f>
        <v>206</v>
      </c>
      <c r="AB97" s="1109">
        <f t="shared" ref="AB97:AB100" si="24">AA97/1000</f>
        <v>0.20599999999999999</v>
      </c>
    </row>
    <row r="98" spans="23:28">
      <c r="W98" s="2429"/>
      <c r="X98" s="2424"/>
      <c r="Y98" s="1068" t="s">
        <v>728</v>
      </c>
      <c r="Z98" s="724">
        <v>1.0149999999999999</v>
      </c>
      <c r="AA98" s="1107">
        <f>(Z98*W96)*10</f>
        <v>202.99999999999997</v>
      </c>
      <c r="AB98" s="1109">
        <f t="shared" si="24"/>
        <v>0.20299999999999996</v>
      </c>
    </row>
    <row r="99" spans="23:28">
      <c r="W99" s="2429"/>
      <c r="X99" s="2424"/>
      <c r="Y99" s="1068" t="s">
        <v>723</v>
      </c>
      <c r="Z99" s="724">
        <v>0.92</v>
      </c>
      <c r="AA99" s="1107">
        <f>(Z99*W96)*10</f>
        <v>184.00000000000003</v>
      </c>
      <c r="AB99" s="1109">
        <f t="shared" si="24"/>
        <v>0.18400000000000002</v>
      </c>
    </row>
    <row r="100" spans="23:28" ht="15.75" thickBot="1">
      <c r="W100" s="2430"/>
      <c r="X100" s="2425"/>
      <c r="Y100" s="1069" t="s">
        <v>724</v>
      </c>
      <c r="Z100" s="900">
        <v>0.8</v>
      </c>
      <c r="AA100" s="1108">
        <f>(Z100*W96)*10</f>
        <v>160</v>
      </c>
      <c r="AB100" s="1110">
        <f t="shared" si="24"/>
        <v>0.16</v>
      </c>
    </row>
    <row r="101" spans="23:28" ht="15.75" thickBot="1"/>
    <row r="102" spans="23:28" ht="15.75">
      <c r="W102" s="2413" t="s">
        <v>726</v>
      </c>
      <c r="X102" s="2414"/>
      <c r="Y102" s="2414"/>
      <c r="Z102" s="2414"/>
      <c r="AA102" s="2414"/>
      <c r="AB102" s="2415"/>
    </row>
    <row r="103" spans="23:28">
      <c r="W103" s="2516" t="s">
        <v>722</v>
      </c>
      <c r="X103" s="2417"/>
      <c r="Y103" s="725" t="s">
        <v>725</v>
      </c>
      <c r="Z103" s="1333" t="s">
        <v>721</v>
      </c>
      <c r="AA103" s="2418" t="s">
        <v>66</v>
      </c>
      <c r="AB103" s="2419"/>
    </row>
    <row r="104" spans="23:28">
      <c r="W104" s="2422">
        <v>2</v>
      </c>
      <c r="X104" s="2424">
        <f>W104/10</f>
        <v>0.2</v>
      </c>
      <c r="Y104" s="1068" t="s">
        <v>206</v>
      </c>
      <c r="Z104" s="724">
        <v>1</v>
      </c>
      <c r="AA104" s="1107">
        <f>(W104*Z104)*100</f>
        <v>200</v>
      </c>
      <c r="AB104" s="1109">
        <f>AA104/1000</f>
        <v>0.2</v>
      </c>
    </row>
    <row r="105" spans="23:28">
      <c r="W105" s="2422"/>
      <c r="X105" s="2424"/>
      <c r="Y105" s="1068" t="s">
        <v>727</v>
      </c>
      <c r="Z105" s="724">
        <v>1.03</v>
      </c>
      <c r="AA105" s="1107">
        <f>(W104*Z105)*100</f>
        <v>206</v>
      </c>
      <c r="AB105" s="1109">
        <f t="shared" ref="AB105:AB108" si="25">AA105/1000</f>
        <v>0.20599999999999999</v>
      </c>
    </row>
    <row r="106" spans="23:28">
      <c r="W106" s="2422"/>
      <c r="X106" s="2424"/>
      <c r="Y106" s="1068" t="s">
        <v>728</v>
      </c>
      <c r="Z106" s="724">
        <v>1.0149999999999999</v>
      </c>
      <c r="AA106" s="1107">
        <f>(Z106*W104)*100</f>
        <v>202.99999999999997</v>
      </c>
      <c r="AB106" s="1109">
        <f t="shared" si="25"/>
        <v>0.20299999999999996</v>
      </c>
    </row>
    <row r="107" spans="23:28">
      <c r="W107" s="2422"/>
      <c r="X107" s="2424"/>
      <c r="Y107" s="1068" t="s">
        <v>723</v>
      </c>
      <c r="Z107" s="724">
        <v>0.92</v>
      </c>
      <c r="AA107" s="1107">
        <f>(Z107*W104)*100</f>
        <v>184</v>
      </c>
      <c r="AB107" s="1109">
        <f t="shared" si="25"/>
        <v>0.184</v>
      </c>
    </row>
    <row r="108" spans="23:28" ht="15.75" thickBot="1">
      <c r="W108" s="2423"/>
      <c r="X108" s="2425"/>
      <c r="Y108" s="1069" t="s">
        <v>724</v>
      </c>
      <c r="Z108" s="900">
        <v>0.8</v>
      </c>
      <c r="AA108" s="1108">
        <f>(Z108*W104)*100</f>
        <v>160</v>
      </c>
      <c r="AB108" s="1110">
        <f t="shared" si="25"/>
        <v>0.16</v>
      </c>
    </row>
  </sheetData>
  <mergeCells count="75">
    <mergeCell ref="B4:Q4"/>
    <mergeCell ref="S4:W4"/>
    <mergeCell ref="X4:AE4"/>
    <mergeCell ref="B5:G5"/>
    <mergeCell ref="J5:O5"/>
    <mergeCell ref="T5:V5"/>
    <mergeCell ref="AG5:AU5"/>
    <mergeCell ref="T6:W6"/>
    <mergeCell ref="X6:AE7"/>
    <mergeCell ref="AG6:AU7"/>
    <mergeCell ref="O7:P7"/>
    <mergeCell ref="V7:W7"/>
    <mergeCell ref="B8:C8"/>
    <mergeCell ref="A6:A48"/>
    <mergeCell ref="I6:I48"/>
    <mergeCell ref="Q6:Q47"/>
    <mergeCell ref="D8:D9"/>
    <mergeCell ref="J8:J9"/>
    <mergeCell ref="K8:L9"/>
    <mergeCell ref="O8:O9"/>
    <mergeCell ref="P8:P9"/>
    <mergeCell ref="B21:C21"/>
    <mergeCell ref="X96:X100"/>
    <mergeCell ref="I53:I91"/>
    <mergeCell ref="AR9:AU10"/>
    <mergeCell ref="P10:P11"/>
    <mergeCell ref="E11:E12"/>
    <mergeCell ref="X11:Z11"/>
    <mergeCell ref="S44:S45"/>
    <mergeCell ref="H45:H46"/>
    <mergeCell ref="AA8:AA11"/>
    <mergeCell ref="AB8:AE10"/>
    <mergeCell ref="E9:F9"/>
    <mergeCell ref="AG9:AI10"/>
    <mergeCell ref="AJ9:AM10"/>
    <mergeCell ref="AN9:AQ10"/>
    <mergeCell ref="X8:Z10"/>
    <mergeCell ref="AG56:AI57"/>
    <mergeCell ref="A53:A91"/>
    <mergeCell ref="T53:W53"/>
    <mergeCell ref="X53:AE54"/>
    <mergeCell ref="O54:P54"/>
    <mergeCell ref="V54:W54"/>
    <mergeCell ref="B55:C55"/>
    <mergeCell ref="E58:E59"/>
    <mergeCell ref="X58:Z58"/>
    <mergeCell ref="S91:S92"/>
    <mergeCell ref="AA55:AA58"/>
    <mergeCell ref="AB55:AE57"/>
    <mergeCell ref="Q53:Q91"/>
    <mergeCell ref="P55:P56"/>
    <mergeCell ref="X55:Z57"/>
    <mergeCell ref="D55:D56"/>
    <mergeCell ref="J55:J56"/>
    <mergeCell ref="AJ56:AM57"/>
    <mergeCell ref="AN56:AQ57"/>
    <mergeCell ref="AR56:AU57"/>
    <mergeCell ref="AG52:AU52"/>
    <mergeCell ref="AG53:AU54"/>
    <mergeCell ref="B2:R2"/>
    <mergeCell ref="W102:AB102"/>
    <mergeCell ref="W103:X103"/>
    <mergeCell ref="AA103:AB103"/>
    <mergeCell ref="W104:W108"/>
    <mergeCell ref="X104:X108"/>
    <mergeCell ref="W96:W100"/>
    <mergeCell ref="H47:H48"/>
    <mergeCell ref="B52:G52"/>
    <mergeCell ref="J52:O52"/>
    <mergeCell ref="T52:V52"/>
    <mergeCell ref="K55:L56"/>
    <mergeCell ref="O55:O56"/>
    <mergeCell ref="W95:X95"/>
    <mergeCell ref="W94:AB94"/>
    <mergeCell ref="AA95:AB95"/>
  </mergeCells>
  <hyperlinks>
    <hyperlink ref="L42" r:id="rId1"/>
    <hyperlink ref="U44" r:id="rId2"/>
    <hyperlink ref="L38" r:id="rId3" display="http://web04.univ-lorraine.fr/ENSAIA/marie/"/>
    <hyperlink ref="L89" r:id="rId4"/>
    <hyperlink ref="U91" r:id="rId5"/>
  </hyperlinks>
  <printOptions horizontalCentered="1"/>
  <pageMargins left="0.25" right="0.25" top="0.75" bottom="0.75" header="0.3" footer="0.3"/>
  <pageSetup paperSize="9" scale="53" orientation="landscape"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7"/>
  <sheetViews>
    <sheetView showZeros="0" zoomScaleNormal="100" workbookViewId="0">
      <selection activeCell="B29" sqref="B29"/>
    </sheetView>
  </sheetViews>
  <sheetFormatPr baseColWidth="10" defaultRowHeight="15"/>
  <cols>
    <col min="1" max="1" width="2" customWidth="1"/>
    <col min="2" max="2" width="8.7109375" customWidth="1"/>
    <col min="3" max="3" width="10.7109375" customWidth="1"/>
    <col min="4" max="4" width="16.7109375" customWidth="1"/>
    <col min="5" max="5" width="60.7109375" customWidth="1"/>
    <col min="6" max="6" width="12.7109375" customWidth="1"/>
    <col min="7" max="7" width="2" customWidth="1"/>
    <col min="8" max="8" width="8.7109375" customWidth="1"/>
    <col min="9" max="9" width="10.7109375" customWidth="1"/>
    <col min="10" max="10" width="16.7109375" customWidth="1"/>
    <col min="11" max="11" width="60.7109375" customWidth="1"/>
    <col min="12" max="12" width="12.7109375" customWidth="1"/>
    <col min="13" max="13" width="2" customWidth="1"/>
    <col min="14" max="14" width="8.7109375" customWidth="1"/>
    <col min="15" max="15" width="10.7109375" customWidth="1"/>
    <col min="16" max="16" width="16.7109375" customWidth="1"/>
    <col min="17" max="17" width="60.7109375" customWidth="1"/>
    <col min="18" max="18" width="12.7109375" customWidth="1"/>
    <col min="19" max="19" width="2" customWidth="1"/>
    <col min="20" max="20" width="17.42578125" customWidth="1"/>
    <col min="21" max="21" width="8.7109375" customWidth="1"/>
    <col min="22" max="22" width="10.7109375" customWidth="1"/>
    <col min="23" max="23" width="16.7109375" customWidth="1"/>
    <col min="24" max="24" width="66.42578125" customWidth="1"/>
    <col min="25" max="25" width="12.7109375" customWidth="1"/>
    <col min="33" max="33" width="12.28515625" customWidth="1"/>
  </cols>
  <sheetData>
    <row r="1" spans="1:34" ht="18.95" customHeight="1">
      <c r="A1" s="55">
        <v>1.29</v>
      </c>
      <c r="B1" s="52">
        <v>8</v>
      </c>
      <c r="C1" s="52">
        <v>10</v>
      </c>
      <c r="D1" s="52">
        <v>16</v>
      </c>
      <c r="E1" s="52">
        <v>60</v>
      </c>
      <c r="F1" s="52">
        <v>12</v>
      </c>
      <c r="H1" s="52">
        <v>8</v>
      </c>
      <c r="I1" s="52">
        <v>10</v>
      </c>
      <c r="J1" s="52">
        <v>16</v>
      </c>
      <c r="K1" s="52">
        <v>60</v>
      </c>
      <c r="L1" s="52">
        <v>12</v>
      </c>
      <c r="N1" s="52">
        <v>8</v>
      </c>
      <c r="O1" s="52">
        <v>10</v>
      </c>
      <c r="P1" s="52">
        <v>16</v>
      </c>
      <c r="Q1" s="52">
        <v>60</v>
      </c>
      <c r="R1" s="52">
        <v>12</v>
      </c>
      <c r="U1" s="52">
        <v>8</v>
      </c>
      <c r="V1" s="52">
        <v>10</v>
      </c>
      <c r="W1" s="52">
        <v>16</v>
      </c>
      <c r="X1" s="52">
        <v>60</v>
      </c>
      <c r="Y1" s="52">
        <v>12</v>
      </c>
      <c r="Z1" t="s">
        <v>2033</v>
      </c>
    </row>
    <row r="2" spans="1:34" ht="83.25" customHeight="1">
      <c r="B2" s="2475" t="s">
        <v>2203</v>
      </c>
      <c r="C2" s="2476"/>
      <c r="D2" s="2476"/>
      <c r="E2" s="2476"/>
      <c r="F2" s="2476"/>
      <c r="G2" s="2476"/>
      <c r="H2" s="2476"/>
      <c r="I2" s="2476"/>
      <c r="J2" s="2476"/>
      <c r="K2" s="2476"/>
      <c r="L2" s="2476"/>
      <c r="M2" s="2476"/>
      <c r="N2" s="2476"/>
      <c r="O2" s="2476"/>
      <c r="P2" s="2476"/>
      <c r="Q2" s="2476"/>
      <c r="R2" s="2476"/>
      <c r="S2" s="1342"/>
      <c r="U2" s="1342"/>
      <c r="V2" s="1342"/>
      <c r="W2" s="1342"/>
      <c r="X2" s="1342"/>
      <c r="Y2" s="1342"/>
      <c r="Z2" s="1342"/>
      <c r="AA2" s="1342"/>
      <c r="AB2" s="1342"/>
      <c r="AC2" s="1342"/>
      <c r="AD2" s="1342"/>
      <c r="AE2" s="1342"/>
      <c r="AF2" s="1342"/>
      <c r="AG2" s="1342"/>
      <c r="AH2" s="1342"/>
    </row>
    <row r="3" spans="1:34" ht="18.95" customHeight="1" thickBot="1">
      <c r="A3" s="55"/>
      <c r="B3" s="52"/>
      <c r="C3" s="52"/>
      <c r="D3" s="52"/>
      <c r="E3" s="52"/>
      <c r="F3" s="52"/>
      <c r="H3" s="52"/>
      <c r="I3" s="52"/>
      <c r="J3" s="52"/>
      <c r="K3" s="52"/>
      <c r="L3" s="52"/>
      <c r="N3" s="52"/>
      <c r="O3" s="52"/>
      <c r="P3" s="52"/>
      <c r="Q3" s="52"/>
      <c r="R3" s="52"/>
      <c r="U3" s="52"/>
      <c r="V3" s="52"/>
      <c r="W3" s="52"/>
      <c r="X3" s="52"/>
      <c r="Y3" s="52"/>
    </row>
    <row r="4" spans="1:34" ht="26.25" customHeight="1" thickBot="1">
      <c r="A4" s="49" t="s">
        <v>76</v>
      </c>
      <c r="B4" s="2554" t="s">
        <v>2034</v>
      </c>
      <c r="C4" s="2555"/>
      <c r="D4" s="2555"/>
      <c r="E4" s="2555"/>
      <c r="F4" s="2555"/>
      <c r="G4" s="2555"/>
      <c r="H4" s="2555"/>
      <c r="I4" s="2555"/>
      <c r="J4" s="2555"/>
      <c r="K4" s="2555"/>
      <c r="L4" s="2555"/>
      <c r="M4" s="2555"/>
      <c r="N4" s="2555"/>
      <c r="O4" s="2555"/>
      <c r="P4" s="2555"/>
      <c r="Q4" s="2555"/>
      <c r="R4" s="2555"/>
      <c r="S4" s="2555"/>
      <c r="U4" s="2480" t="s">
        <v>77</v>
      </c>
      <c r="V4" s="2481"/>
      <c r="W4" s="2481"/>
      <c r="X4" s="2481"/>
      <c r="Y4" s="2481"/>
      <c r="Z4" s="2481"/>
      <c r="AA4" s="2481"/>
      <c r="AB4" s="2481"/>
    </row>
    <row r="5" spans="1:34" ht="28.5" customHeight="1">
      <c r="A5" s="2540"/>
      <c r="B5" s="2483" t="str">
        <f>V5</f>
        <v>BOUDIN BLANC MAISON la Table Lorraine d'Amélie</v>
      </c>
      <c r="C5" s="2484"/>
      <c r="D5" s="2484"/>
      <c r="E5" s="2484"/>
      <c r="F5" s="1579" t="str">
        <f>Y5</f>
        <v>N°1</v>
      </c>
      <c r="G5" s="49" t="s">
        <v>76</v>
      </c>
      <c r="H5" s="2485" t="str">
        <f>V5</f>
        <v>BOUDIN BLANC MAISON la Table Lorraine d'Amélie</v>
      </c>
      <c r="I5" s="2486"/>
      <c r="J5" s="2486"/>
      <c r="K5" s="2486"/>
      <c r="L5" s="1579" t="str">
        <f>Y5</f>
        <v>N°1</v>
      </c>
      <c r="M5" s="49" t="s">
        <v>76</v>
      </c>
      <c r="N5" s="2485" t="str">
        <f>V5</f>
        <v>BOUDIN BLANC MAISON la Table Lorraine d'Amélie</v>
      </c>
      <c r="O5" s="2486"/>
      <c r="P5" s="2486"/>
      <c r="Q5" s="2486"/>
      <c r="R5" s="1579" t="str">
        <f>Y5</f>
        <v>N°1</v>
      </c>
      <c r="S5" s="2455"/>
      <c r="U5" s="1578" t="s">
        <v>75</v>
      </c>
      <c r="V5" s="2556" t="s">
        <v>2035</v>
      </c>
      <c r="W5" s="2556"/>
      <c r="X5" s="2556"/>
      <c r="Y5" s="1818" t="s">
        <v>74</v>
      </c>
      <c r="Z5" s="2557" t="s">
        <v>1764</v>
      </c>
      <c r="AA5" s="2558"/>
      <c r="AB5" s="2558"/>
      <c r="AD5" s="2564" t="s">
        <v>1756</v>
      </c>
      <c r="AE5" s="2565"/>
      <c r="AF5" s="2565"/>
      <c r="AG5" s="2565"/>
      <c r="AH5" s="1562"/>
    </row>
    <row r="6" spans="1:34" ht="18" customHeight="1">
      <c r="A6" s="2540"/>
      <c r="B6" s="1575" t="s">
        <v>73</v>
      </c>
      <c r="C6" s="48" t="str">
        <f>V6</f>
        <v xml:space="preserve"> la Table Lorraine d'Amélie</v>
      </c>
      <c r="D6" s="47"/>
      <c r="E6" s="47"/>
      <c r="F6" s="1577"/>
      <c r="G6" s="2585"/>
      <c r="H6" s="1575" t="s">
        <v>73</v>
      </c>
      <c r="I6" s="48" t="str">
        <f>V6</f>
        <v xml:space="preserve"> la Table Lorraine d'Amélie</v>
      </c>
      <c r="J6" s="47"/>
      <c r="K6" s="47"/>
      <c r="L6" s="1577"/>
      <c r="M6" s="2585"/>
      <c r="N6" s="1575" t="s">
        <v>73</v>
      </c>
      <c r="O6" s="48" t="str">
        <f>V6</f>
        <v xml:space="preserve"> la Table Lorraine d'Amélie</v>
      </c>
      <c r="P6" s="47"/>
      <c r="Q6" s="47"/>
      <c r="R6" s="1577"/>
      <c r="S6" s="2455"/>
      <c r="U6" s="1576" t="s">
        <v>72</v>
      </c>
      <c r="V6" s="2586" t="s">
        <v>2036</v>
      </c>
      <c r="W6" s="2586"/>
      <c r="X6" s="2586"/>
      <c r="Y6" s="2586"/>
      <c r="Z6" s="2557"/>
      <c r="AA6" s="2558"/>
      <c r="AB6" s="2558"/>
      <c r="AD6" s="2566" t="s">
        <v>1755</v>
      </c>
      <c r="AE6" s="2567"/>
      <c r="AF6" s="2567"/>
      <c r="AG6" s="2567"/>
      <c r="AH6" s="1561"/>
    </row>
    <row r="7" spans="1:34" ht="18" customHeight="1">
      <c r="A7" s="2540"/>
      <c r="B7" s="1575" t="str">
        <f>U7</f>
        <v>❸ Constituant de quelle recette ?</v>
      </c>
      <c r="C7" s="46"/>
      <c r="D7" s="46"/>
      <c r="E7" s="2587" t="str">
        <f>X7</f>
        <v>?</v>
      </c>
      <c r="F7" s="2559"/>
      <c r="G7" s="2585"/>
      <c r="H7" s="1575" t="str">
        <f>U7</f>
        <v>❸ Constituant de quelle recette ?</v>
      </c>
      <c r="I7" s="44"/>
      <c r="J7" s="44"/>
      <c r="K7" s="2463" t="str">
        <f>X7</f>
        <v>?</v>
      </c>
      <c r="L7" s="2559"/>
      <c r="M7" s="2585"/>
      <c r="N7" s="1575" t="str">
        <f>U7</f>
        <v>❸ Constituant de quelle recette ?</v>
      </c>
      <c r="O7" s="44"/>
      <c r="P7" s="44"/>
      <c r="Q7" s="2463" t="str">
        <f>X7</f>
        <v>?</v>
      </c>
      <c r="R7" s="2559"/>
      <c r="S7" s="2455"/>
      <c r="U7" s="1574" t="s">
        <v>71</v>
      </c>
      <c r="V7" s="42"/>
      <c r="W7" s="42"/>
      <c r="X7" s="2560" t="s">
        <v>70</v>
      </c>
      <c r="Y7" s="2560"/>
      <c r="Z7" s="2557"/>
      <c r="AA7" s="2558"/>
      <c r="AB7" s="2558"/>
      <c r="AD7" s="1559" t="s">
        <v>1753</v>
      </c>
      <c r="AE7" s="1558"/>
      <c r="AF7" s="1557"/>
      <c r="AG7" s="1556"/>
      <c r="AH7" s="1555"/>
    </row>
    <row r="8" spans="1:34" ht="18" customHeight="1">
      <c r="A8" s="2540"/>
      <c r="B8" s="1572"/>
      <c r="C8" s="1483" t="s">
        <v>1763</v>
      </c>
      <c r="D8" s="2574">
        <v>1</v>
      </c>
      <c r="E8" s="2576" t="s">
        <v>45</v>
      </c>
      <c r="F8" s="1571" t="s">
        <v>1762</v>
      </c>
      <c r="G8" s="2585"/>
      <c r="H8" s="1819"/>
      <c r="I8" s="1354" t="s">
        <v>1</v>
      </c>
      <c r="J8" s="1355">
        <f>W8</f>
        <v>60</v>
      </c>
      <c r="K8" s="1356" t="s">
        <v>0</v>
      </c>
      <c r="L8" s="1570">
        <f>Y8</f>
        <v>40</v>
      </c>
      <c r="M8" s="2585"/>
      <c r="N8" s="1819"/>
      <c r="O8" s="1354" t="s">
        <v>1</v>
      </c>
      <c r="P8" s="1355">
        <f>W8</f>
        <v>60</v>
      </c>
      <c r="Q8" s="1356" t="s">
        <v>0</v>
      </c>
      <c r="R8" s="1570">
        <f>Y8</f>
        <v>40</v>
      </c>
      <c r="S8" s="2455"/>
      <c r="U8" s="1569"/>
      <c r="V8" s="36" t="s">
        <v>1</v>
      </c>
      <c r="W8" s="37">
        <v>60</v>
      </c>
      <c r="X8" s="36" t="s">
        <v>0</v>
      </c>
      <c r="Y8" s="37">
        <v>40</v>
      </c>
      <c r="Z8" s="2557"/>
      <c r="AA8" s="2558"/>
      <c r="AB8" s="2558"/>
      <c r="AD8" s="1553" t="s">
        <v>1751</v>
      </c>
      <c r="AE8" s="1"/>
      <c r="AF8" s="1"/>
      <c r="AG8" s="1"/>
      <c r="AH8" s="2"/>
    </row>
    <row r="9" spans="1:34" ht="18" customHeight="1">
      <c r="A9" s="2540"/>
      <c r="B9" s="1568"/>
      <c r="C9" s="1567" t="s">
        <v>1761</v>
      </c>
      <c r="D9" s="2575"/>
      <c r="E9" s="2576"/>
      <c r="F9" s="1566">
        <f>D8*1000</f>
        <v>1000</v>
      </c>
      <c r="G9" s="2585"/>
      <c r="H9" s="1820" t="s">
        <v>68</v>
      </c>
      <c r="I9" s="1821"/>
      <c r="J9" s="1822"/>
      <c r="K9" s="1823"/>
      <c r="L9" s="1824"/>
      <c r="M9" s="2585"/>
      <c r="N9" s="1820" t="s">
        <v>68</v>
      </c>
      <c r="O9" s="1821"/>
      <c r="P9" s="1822"/>
      <c r="Q9" s="1823"/>
      <c r="R9" s="1824"/>
      <c r="S9" s="2455"/>
      <c r="U9" s="1565" t="s">
        <v>1760</v>
      </c>
      <c r="V9" s="30"/>
      <c r="W9" s="30"/>
      <c r="X9" s="1564" t="s">
        <v>67</v>
      </c>
      <c r="Y9" s="1825">
        <f>Y55</f>
        <v>2364.85</v>
      </c>
      <c r="Z9" s="2577" t="s">
        <v>1759</v>
      </c>
      <c r="AA9" s="2578"/>
      <c r="AB9" s="2578"/>
      <c r="AD9" s="1552" t="s">
        <v>1749</v>
      </c>
      <c r="AE9" s="1"/>
      <c r="AF9" s="1543"/>
      <c r="AG9" s="1543"/>
      <c r="AH9" s="1542"/>
    </row>
    <row r="10" spans="1:34" ht="18.95" customHeight="1">
      <c r="A10" s="2540"/>
      <c r="B10" s="2579" t="s">
        <v>60</v>
      </c>
      <c r="C10" s="2580"/>
      <c r="D10" s="1563" t="s">
        <v>66</v>
      </c>
      <c r="E10" s="2581" t="s">
        <v>1758</v>
      </c>
      <c r="F10" s="2582"/>
      <c r="G10" s="2585"/>
      <c r="H10" s="1826"/>
      <c r="I10" s="2553"/>
      <c r="J10" s="2553"/>
      <c r="K10" s="2553"/>
      <c r="L10" s="1529"/>
      <c r="M10" s="2585"/>
      <c r="N10" s="1826"/>
      <c r="O10" s="15"/>
      <c r="P10" s="15"/>
      <c r="Q10" s="15"/>
      <c r="R10" s="1529"/>
      <c r="S10" s="2455"/>
      <c r="U10" s="29" t="s">
        <v>61</v>
      </c>
      <c r="V10" s="1359" t="s">
        <v>60</v>
      </c>
      <c r="W10" s="1360" t="s">
        <v>63</v>
      </c>
      <c r="X10" s="1360" t="s">
        <v>91</v>
      </c>
      <c r="Y10" s="1827"/>
      <c r="Z10" s="2583">
        <v>1000</v>
      </c>
      <c r="AA10" s="2584"/>
      <c r="AB10" s="2584"/>
      <c r="AD10" s="1551" t="s">
        <v>1748</v>
      </c>
      <c r="AE10" s="1550"/>
      <c r="AF10" s="1"/>
      <c r="AG10" s="1"/>
      <c r="AH10" s="2"/>
    </row>
    <row r="11" spans="1:34" ht="18.95" customHeight="1">
      <c r="A11" s="2540"/>
      <c r="B11" s="1828"/>
      <c r="C11" s="1829"/>
      <c r="D11" s="1830"/>
      <c r="E11" s="1831"/>
      <c r="F11" s="1832"/>
      <c r="G11" s="2585"/>
      <c r="H11" s="1826"/>
      <c r="I11" s="2553" t="s">
        <v>2037</v>
      </c>
      <c r="J11" s="2553"/>
      <c r="K11" s="2553"/>
      <c r="L11" s="1529"/>
      <c r="M11" s="2585"/>
      <c r="N11" s="1826"/>
      <c r="O11" s="15" t="s">
        <v>2038</v>
      </c>
      <c r="P11" s="15"/>
      <c r="Q11" s="15"/>
      <c r="R11" s="1529"/>
      <c r="S11" s="2455"/>
      <c r="U11" s="1833"/>
      <c r="V11" s="1834"/>
      <c r="W11" s="1835"/>
      <c r="X11" s="1836"/>
      <c r="Y11" s="1837"/>
      <c r="Z11" s="1538">
        <f>(Y11/Y9)*Z10</f>
        <v>0</v>
      </c>
      <c r="AA11" s="18" t="str">
        <f>IF(ISBLANK(U11),"",(U11/Y9)*Z10)</f>
        <v/>
      </c>
      <c r="AB11" s="17">
        <f t="shared" ref="AB11:AB46" si="0">V11</f>
        <v>0</v>
      </c>
      <c r="AD11" s="2568" t="s">
        <v>1746</v>
      </c>
      <c r="AE11" s="2569"/>
      <c r="AF11" s="2569"/>
      <c r="AG11" s="2569"/>
      <c r="AH11" s="2570"/>
    </row>
    <row r="12" spans="1:34" ht="18.95" customHeight="1">
      <c r="A12" s="2540"/>
      <c r="B12" s="1806">
        <f>IF(ISTEXT(U12),U12,IF(ISBLANK(U12),0,(U12/Y9)*F9))</f>
        <v>0</v>
      </c>
      <c r="C12" s="1541">
        <f t="shared" ref="C12:C53" si="1">V12</f>
        <v>0</v>
      </c>
      <c r="D12" s="51">
        <f>((Y12/Y9)*F9)</f>
        <v>0</v>
      </c>
      <c r="E12" s="1838" t="str">
        <f t="shared" ref="E12:E53" si="2">X12</f>
        <v>Recette source</v>
      </c>
      <c r="F12" s="1540"/>
      <c r="G12" s="2585"/>
      <c r="H12" s="1826"/>
      <c r="I12" s="2553" t="s">
        <v>2039</v>
      </c>
      <c r="J12" s="2553"/>
      <c r="K12" s="2553"/>
      <c r="L12" s="1529"/>
      <c r="M12" s="2585"/>
      <c r="N12" s="1826"/>
      <c r="O12" s="15"/>
      <c r="P12" s="15"/>
      <c r="Q12" s="15"/>
      <c r="R12" s="1529"/>
      <c r="S12" s="2455"/>
      <c r="U12" s="1839"/>
      <c r="V12" s="1840"/>
      <c r="W12" s="1841"/>
      <c r="X12" s="1842" t="s">
        <v>2040</v>
      </c>
      <c r="Y12" s="1837">
        <f t="shared" ref="Y12:Y53" si="3">IF(ISBLANK(U12),W12,(W12*U12))</f>
        <v>0</v>
      </c>
      <c r="Z12" s="1538">
        <f>(Y12/Y9)*Z10</f>
        <v>0</v>
      </c>
      <c r="AA12" s="18" t="str">
        <f>IF(ISBLANK(U12),"",(U12/Y9)*Z10)</f>
        <v/>
      </c>
      <c r="AB12" s="17">
        <f t="shared" si="0"/>
        <v>0</v>
      </c>
      <c r="AD12" s="2568"/>
      <c r="AE12" s="2569"/>
      <c r="AF12" s="2569"/>
      <c r="AG12" s="2569"/>
      <c r="AH12" s="2570"/>
    </row>
    <row r="13" spans="1:34" ht="18.95" customHeight="1">
      <c r="A13" s="2540"/>
      <c r="B13" s="1806">
        <f>IF(ISTEXT(U13),U13,IF(ISBLANK(U13),0,(U13/Y9)*F9))</f>
        <v>0</v>
      </c>
      <c r="C13" s="1541">
        <f t="shared" si="1"/>
        <v>0</v>
      </c>
      <c r="D13" s="51">
        <f>((Y13/Y9)*F9)</f>
        <v>0</v>
      </c>
      <c r="E13" s="1843" t="str">
        <f t="shared" si="2"/>
        <v>Ingrédients pour +/ 1.2 kg de boudin</v>
      </c>
      <c r="F13" s="1540"/>
      <c r="G13" s="2585"/>
      <c r="H13" s="1826"/>
      <c r="I13" s="2553" t="s">
        <v>2041</v>
      </c>
      <c r="J13" s="2553"/>
      <c r="K13" s="2553"/>
      <c r="L13" s="1529"/>
      <c r="M13" s="2585"/>
      <c r="N13" s="1844">
        <v>1</v>
      </c>
      <c r="O13" s="15" t="s">
        <v>2042</v>
      </c>
      <c r="P13" s="15"/>
      <c r="Q13" s="15"/>
      <c r="R13" s="1529"/>
      <c r="S13" s="2455"/>
      <c r="U13" s="1839"/>
      <c r="V13" s="1840"/>
      <c r="W13" s="1841"/>
      <c r="X13" s="1842" t="s">
        <v>2043</v>
      </c>
      <c r="Y13" s="1837">
        <f t="shared" si="3"/>
        <v>0</v>
      </c>
      <c r="Z13" s="1538">
        <f>(Y13/Y9)*Z10</f>
        <v>0</v>
      </c>
      <c r="AA13" s="18" t="str">
        <f>IF(ISBLANK(U13),"",(U13/Y9)*Z10)</f>
        <v/>
      </c>
      <c r="AB13" s="17">
        <f t="shared" si="0"/>
        <v>0</v>
      </c>
      <c r="AD13" s="2568"/>
      <c r="AE13" s="2569"/>
      <c r="AF13" s="2569"/>
      <c r="AG13" s="2569"/>
      <c r="AH13" s="2570"/>
    </row>
    <row r="14" spans="1:34" ht="18.95" customHeight="1">
      <c r="A14" s="2540"/>
      <c r="B14" s="1806">
        <f>IF(ISTEXT(U14),U14,IF(ISBLANK(U14),0,(U14/Y9)*F9))</f>
        <v>0</v>
      </c>
      <c r="C14" s="1541">
        <f t="shared" si="1"/>
        <v>0</v>
      </c>
      <c r="D14" s="51">
        <f>((Y14/Y9)*F9)</f>
        <v>0</v>
      </c>
      <c r="E14" s="1843" t="str">
        <f t="shared" si="2"/>
        <v>L'Auteur estime ses proportions pour</v>
      </c>
      <c r="F14" s="1540"/>
      <c r="G14" s="2585"/>
      <c r="H14" s="1826"/>
      <c r="I14" s="15"/>
      <c r="J14" s="15"/>
      <c r="K14" s="15"/>
      <c r="L14" s="1529"/>
      <c r="M14" s="2585"/>
      <c r="N14" s="1844"/>
      <c r="O14" s="15" t="s">
        <v>2044</v>
      </c>
      <c r="P14" s="15"/>
      <c r="Q14" s="15"/>
      <c r="R14" s="1529"/>
      <c r="S14" s="2455"/>
      <c r="U14" s="1839"/>
      <c r="V14" s="1840"/>
      <c r="W14" s="1841"/>
      <c r="X14" s="1842" t="s">
        <v>2045</v>
      </c>
      <c r="Y14" s="1837">
        <f t="shared" si="3"/>
        <v>0</v>
      </c>
      <c r="Z14" s="1538">
        <f>(Y14/Y9)*Z10</f>
        <v>0</v>
      </c>
      <c r="AA14" s="18" t="str">
        <f>IF(ISBLANK(U14),"",(U14/Y9)*Z10)</f>
        <v/>
      </c>
      <c r="AB14" s="17">
        <f t="shared" si="0"/>
        <v>0</v>
      </c>
      <c r="AD14" s="2571" t="s">
        <v>1742</v>
      </c>
      <c r="AE14" s="2572"/>
      <c r="AF14" s="2572"/>
      <c r="AG14" s="2572"/>
      <c r="AH14" s="2573"/>
    </row>
    <row r="15" spans="1:34" ht="18.95" customHeight="1">
      <c r="A15" s="2540"/>
      <c r="B15" s="1806">
        <f>IF(ISTEXT(U15),U15,IF(ISBLANK(U15),0,(U15/Y9)*F9))</f>
        <v>0</v>
      </c>
      <c r="C15" s="1541">
        <f t="shared" si="1"/>
        <v>0</v>
      </c>
      <c r="D15" s="51">
        <f>((Y15/Y9)*F9)</f>
        <v>0</v>
      </c>
      <c r="E15" s="1845">
        <f t="shared" si="2"/>
        <v>1200</v>
      </c>
      <c r="F15" s="1540"/>
      <c r="G15" s="2585"/>
      <c r="H15" s="1844">
        <v>1</v>
      </c>
      <c r="I15" s="15" t="s">
        <v>2046</v>
      </c>
      <c r="J15" s="15"/>
      <c r="K15" s="15"/>
      <c r="L15" s="1529"/>
      <c r="M15" s="2585"/>
      <c r="N15" s="1844">
        <v>2</v>
      </c>
      <c r="O15" s="15" t="s">
        <v>2047</v>
      </c>
      <c r="P15" s="15"/>
      <c r="Q15" s="15"/>
      <c r="R15" s="1529"/>
      <c r="S15" s="2455"/>
      <c r="U15" s="1839"/>
      <c r="V15" s="1840"/>
      <c r="W15" s="1841"/>
      <c r="X15" s="1841">
        <v>1200</v>
      </c>
      <c r="Y15" s="1837">
        <f t="shared" si="3"/>
        <v>0</v>
      </c>
      <c r="Z15" s="1538">
        <f>(Y15/Y9)*Z10</f>
        <v>0</v>
      </c>
      <c r="AA15" s="18" t="str">
        <f>IF(ISBLANK(U15),"",(U15/Y9)*Z10)</f>
        <v/>
      </c>
      <c r="AB15" s="17">
        <f t="shared" si="0"/>
        <v>0</v>
      </c>
      <c r="AD15" s="2571"/>
      <c r="AE15" s="2572"/>
      <c r="AF15" s="2572"/>
      <c r="AG15" s="2572"/>
      <c r="AH15" s="2573"/>
    </row>
    <row r="16" spans="1:34" ht="18.95" customHeight="1">
      <c r="A16" s="2540"/>
      <c r="B16" s="1806">
        <f>IF(ISTEXT(U16),U16,IF(ISBLANK(U16),0,(U16/Y9)*F9))</f>
        <v>0</v>
      </c>
      <c r="C16" s="1541">
        <f t="shared" si="1"/>
        <v>0</v>
      </c>
      <c r="D16" s="51">
        <f>((Y16/Y9)*F9)</f>
        <v>0</v>
      </c>
      <c r="E16" s="1846" t="str">
        <f t="shared" si="2"/>
        <v>en additionnant ses proportions on obtient</v>
      </c>
      <c r="F16" s="1540"/>
      <c r="G16" s="2585"/>
      <c r="H16" s="1844">
        <v>2</v>
      </c>
      <c r="I16" s="15" t="s">
        <v>2048</v>
      </c>
      <c r="J16" s="15"/>
      <c r="K16" s="15"/>
      <c r="L16" s="1529"/>
      <c r="M16" s="2585"/>
      <c r="N16" s="1844"/>
      <c r="O16" s="15" t="s">
        <v>2049</v>
      </c>
      <c r="P16" s="15"/>
      <c r="Q16" s="15"/>
      <c r="R16" s="1529"/>
      <c r="S16" s="2455"/>
      <c r="U16" s="1839"/>
      <c r="V16" s="1840"/>
      <c r="W16" s="1841"/>
      <c r="X16" s="1842" t="s">
        <v>2050</v>
      </c>
      <c r="Y16" s="1837">
        <f t="shared" si="3"/>
        <v>0</v>
      </c>
      <c r="Z16" s="1538">
        <f>(Y16/Y9)*Z10</f>
        <v>0</v>
      </c>
      <c r="AA16" s="18" t="str">
        <f>IF(ISBLANK(U16),"",(U16/Y9)*Z10)</f>
        <v/>
      </c>
      <c r="AB16" s="17">
        <f t="shared" si="0"/>
        <v>0</v>
      </c>
      <c r="AD16" s="1547" t="s">
        <v>1740</v>
      </c>
      <c r="AE16" s="1"/>
      <c r="AF16" s="1549"/>
      <c r="AG16" s="1549"/>
      <c r="AH16" s="1548"/>
    </row>
    <row r="17" spans="1:34" ht="18.95" customHeight="1">
      <c r="A17" s="2540"/>
      <c r="B17" s="1806">
        <f>IF(ISTEXT(U17),U17,IF(ISBLANK(U17),0,(U17/Y9)*F9))</f>
        <v>0</v>
      </c>
      <c r="C17" s="1541">
        <f t="shared" si="1"/>
        <v>0</v>
      </c>
      <c r="D17" s="51">
        <f>((Y17/Y9)*F9)</f>
        <v>0</v>
      </c>
      <c r="E17" s="1847">
        <f t="shared" si="2"/>
        <v>2364.85</v>
      </c>
      <c r="F17" s="1540"/>
      <c r="G17" s="2585"/>
      <c r="H17" s="1844"/>
      <c r="I17" s="15" t="s">
        <v>2051</v>
      </c>
      <c r="J17" s="15"/>
      <c r="K17" s="15"/>
      <c r="L17" s="1529"/>
      <c r="M17" s="2585"/>
      <c r="N17" s="1844">
        <v>3</v>
      </c>
      <c r="O17" s="15" t="s">
        <v>2052</v>
      </c>
      <c r="P17" s="15"/>
      <c r="Q17" s="15"/>
      <c r="R17" s="1529"/>
      <c r="S17" s="2455"/>
      <c r="U17" s="1839"/>
      <c r="V17" s="1840"/>
      <c r="W17" s="1841"/>
      <c r="X17" s="1848">
        <f>Y9</f>
        <v>2364.85</v>
      </c>
      <c r="Y17" s="1837">
        <f t="shared" si="3"/>
        <v>0</v>
      </c>
      <c r="Z17" s="1538">
        <f>(Y17/Y9)*Z10</f>
        <v>0</v>
      </c>
      <c r="AA17" s="18" t="str">
        <f>IF(ISBLANK(U17),"",(U17/Y9)*Z10)</f>
        <v/>
      </c>
      <c r="AB17" s="17">
        <f t="shared" si="0"/>
        <v>0</v>
      </c>
      <c r="AD17" s="1547" t="s">
        <v>2</v>
      </c>
      <c r="AE17" s="1"/>
      <c r="AF17" s="1546" t="s">
        <v>1</v>
      </c>
      <c r="AG17" s="1"/>
      <c r="AH17" s="1545" t="s">
        <v>0</v>
      </c>
    </row>
    <row r="18" spans="1:34" ht="18.95" customHeight="1">
      <c r="A18" s="2540"/>
      <c r="B18" s="1806">
        <f>IF(ISTEXT(U18),U18,IF(ISBLANK(U18),0,(U18/Y9)*F9))</f>
        <v>0</v>
      </c>
      <c r="C18" s="1541">
        <f t="shared" si="1"/>
        <v>0</v>
      </c>
      <c r="D18" s="51">
        <f>((Y18/Y9)*F9)</f>
        <v>0</v>
      </c>
      <c r="E18" s="1843" t="str">
        <f t="shared" si="2"/>
        <v>il y aurait donc une perte de</v>
      </c>
      <c r="F18" s="1540"/>
      <c r="G18" s="2585"/>
      <c r="H18" s="1844">
        <v>3</v>
      </c>
      <c r="I18" s="15" t="s">
        <v>2053</v>
      </c>
      <c r="J18" s="15"/>
      <c r="K18" s="15"/>
      <c r="L18" s="1529"/>
      <c r="M18" s="2585"/>
      <c r="N18" s="1844">
        <v>4</v>
      </c>
      <c r="O18" s="15" t="s">
        <v>2054</v>
      </c>
      <c r="P18" s="15"/>
      <c r="Q18" s="15"/>
      <c r="R18" s="1529"/>
      <c r="S18" s="2455"/>
      <c r="U18" s="1839"/>
      <c r="V18" s="1840"/>
      <c r="W18" s="1841"/>
      <c r="X18" s="1849" t="s">
        <v>2055</v>
      </c>
      <c r="Y18" s="1837">
        <f t="shared" si="3"/>
        <v>0</v>
      </c>
      <c r="Z18" s="1538">
        <f>(Y18/Y9)*Z10</f>
        <v>0</v>
      </c>
      <c r="AA18" s="18" t="str">
        <f>IF(ISBLANK(U18),"",(U18/Y9)*Z10)</f>
        <v/>
      </c>
      <c r="AB18" s="17">
        <f t="shared" si="0"/>
        <v>0</v>
      </c>
      <c r="AD18" s="2590" t="s">
        <v>1739</v>
      </c>
      <c r="AE18" s="2591"/>
      <c r="AF18" s="2591"/>
      <c r="AG18" s="2591"/>
      <c r="AH18" s="2592"/>
    </row>
    <row r="19" spans="1:34" ht="18.95" customHeight="1">
      <c r="A19" s="2540"/>
      <c r="B19" s="1806">
        <f>IF(ISTEXT(U19),U19,IF(ISBLANK(U19),0,(U19/Y9)*F9))</f>
        <v>0</v>
      </c>
      <c r="C19" s="1541">
        <f t="shared" si="1"/>
        <v>0</v>
      </c>
      <c r="D19" s="51">
        <f>((Y19/Y9)*F9)</f>
        <v>0</v>
      </c>
      <c r="E19" s="1845">
        <f t="shared" si="2"/>
        <v>1164.8499999999999</v>
      </c>
      <c r="F19" s="1540"/>
      <c r="G19" s="2585"/>
      <c r="H19" s="1844">
        <v>4</v>
      </c>
      <c r="I19" s="15" t="s">
        <v>2056</v>
      </c>
      <c r="J19" s="15"/>
      <c r="K19" s="15"/>
      <c r="L19" s="1529"/>
      <c r="M19" s="2585"/>
      <c r="N19" s="1844">
        <v>5</v>
      </c>
      <c r="O19" s="15" t="s">
        <v>2057</v>
      </c>
      <c r="P19" s="15"/>
      <c r="Q19" s="15"/>
      <c r="R19" s="1529"/>
      <c r="S19" s="2455"/>
      <c r="U19" s="1839"/>
      <c r="V19" s="1840"/>
      <c r="W19" s="1841"/>
      <c r="X19" s="1850">
        <f>X17-X15</f>
        <v>1164.8499999999999</v>
      </c>
      <c r="Y19" s="1837">
        <f t="shared" si="3"/>
        <v>0</v>
      </c>
      <c r="Z19" s="1538">
        <f>(Y19/Y9)*Z10</f>
        <v>0</v>
      </c>
      <c r="AA19" s="18" t="str">
        <f>IF(ISBLANK(U19),"",(U19/Y9)*Z10)</f>
        <v/>
      </c>
      <c r="AB19" s="17">
        <f t="shared" si="0"/>
        <v>0</v>
      </c>
      <c r="AD19" s="2590"/>
      <c r="AE19" s="2591"/>
      <c r="AF19" s="2591"/>
      <c r="AG19" s="2591"/>
      <c r="AH19" s="2592"/>
    </row>
    <row r="20" spans="1:34" ht="18.95" customHeight="1">
      <c r="A20" s="2540"/>
      <c r="B20" s="1806">
        <f>IF(ISTEXT(U20),U20,IF(ISBLANK(U20),0,(U20/Y9)*F9))</f>
        <v>0</v>
      </c>
      <c r="C20" s="1541">
        <f t="shared" si="1"/>
        <v>0</v>
      </c>
      <c r="D20" s="51">
        <f>((Y20/Y9)*F9)</f>
        <v>0</v>
      </c>
      <c r="E20" s="1851">
        <f t="shared" si="2"/>
        <v>0.4925682390003594</v>
      </c>
      <c r="F20" s="1540"/>
      <c r="G20" s="2585"/>
      <c r="H20" s="1844">
        <v>5</v>
      </c>
      <c r="I20" s="15" t="s">
        <v>2058</v>
      </c>
      <c r="J20" s="15"/>
      <c r="K20" s="15"/>
      <c r="L20" s="1529"/>
      <c r="M20" s="2585"/>
      <c r="N20" s="1844"/>
      <c r="O20" s="15" t="s">
        <v>2059</v>
      </c>
      <c r="P20" s="15"/>
      <c r="Q20" s="15"/>
      <c r="R20" s="1529"/>
      <c r="S20" s="2455"/>
      <c r="U20" s="1839"/>
      <c r="V20" s="1840"/>
      <c r="W20" s="1841"/>
      <c r="X20" s="1852">
        <f>X19/X17</f>
        <v>0.4925682390003594</v>
      </c>
      <c r="Y20" s="1837">
        <f t="shared" si="3"/>
        <v>0</v>
      </c>
      <c r="Z20" s="1538">
        <f>(Y20/Y9)*Z10</f>
        <v>0</v>
      </c>
      <c r="AA20" s="18" t="str">
        <f>IF(ISBLANK(U20),"",(U20/Y9)*Z10)</f>
        <v/>
      </c>
      <c r="AB20" s="17">
        <f t="shared" si="0"/>
        <v>0</v>
      </c>
      <c r="AD20" s="1544" t="s">
        <v>1738</v>
      </c>
      <c r="AE20" s="1"/>
      <c r="AF20" s="1543"/>
      <c r="AG20" s="1543"/>
      <c r="AH20" s="1542"/>
    </row>
    <row r="21" spans="1:34" ht="18.95" customHeight="1">
      <c r="A21" s="2540"/>
      <c r="B21" s="1853">
        <f>IF(ISTEXT(U21),U21,IF(ISBLANK(U21),0,(U21/Y9)*F9))</f>
        <v>0</v>
      </c>
      <c r="C21" s="1854">
        <f t="shared" si="1"/>
        <v>0</v>
      </c>
      <c r="D21" s="1855">
        <f>((Y21/Y9)*F9)</f>
        <v>0</v>
      </c>
      <c r="E21" s="1856" t="str">
        <f t="shared" si="2"/>
        <v>cela me parait disproportionné</v>
      </c>
      <c r="F21" s="333"/>
      <c r="G21" s="2585"/>
      <c r="H21" s="1844"/>
      <c r="I21" s="15" t="s">
        <v>2060</v>
      </c>
      <c r="J21" s="15"/>
      <c r="K21" s="15"/>
      <c r="L21" s="1529"/>
      <c r="M21" s="2585"/>
      <c r="N21" s="1844"/>
      <c r="O21" s="15" t="s">
        <v>2061</v>
      </c>
      <c r="P21" s="15"/>
      <c r="Q21" s="15"/>
      <c r="R21" s="1529"/>
      <c r="S21" s="2455"/>
      <c r="U21" s="1857"/>
      <c r="V21" s="1858"/>
      <c r="W21" s="1859"/>
      <c r="X21" s="1842" t="s">
        <v>2062</v>
      </c>
      <c r="Y21" s="1837">
        <f t="shared" si="3"/>
        <v>0</v>
      </c>
      <c r="Z21" s="1538">
        <f>(Y21/Y9)*Z10</f>
        <v>0</v>
      </c>
      <c r="AA21" s="18" t="str">
        <f>IF(ISBLANK(U21),"",(U21/Y9)*Z10)</f>
        <v/>
      </c>
      <c r="AB21" s="17">
        <f t="shared" si="0"/>
        <v>0</v>
      </c>
      <c r="AD21" s="2593" t="s">
        <v>1737</v>
      </c>
      <c r="AE21" s="2594"/>
      <c r="AF21" s="2594"/>
      <c r="AG21" s="2594"/>
      <c r="AH21" s="2595"/>
    </row>
    <row r="22" spans="1:34" ht="18.95" customHeight="1">
      <c r="A22" s="2540"/>
      <c r="B22" s="1860" t="s">
        <v>2063</v>
      </c>
      <c r="C22" s="1861"/>
      <c r="D22" s="1862">
        <f>D8</f>
        <v>1</v>
      </c>
      <c r="E22" s="1863" t="s">
        <v>2064</v>
      </c>
      <c r="F22" s="1864">
        <f>E17/1000</f>
        <v>2.3648500000000001</v>
      </c>
      <c r="G22" s="2585"/>
      <c r="H22" s="1844">
        <v>6</v>
      </c>
      <c r="I22" s="15" t="s">
        <v>2065</v>
      </c>
      <c r="J22" s="15"/>
      <c r="K22" s="15"/>
      <c r="L22" s="1529"/>
      <c r="M22" s="2585"/>
      <c r="N22" s="1844">
        <v>6</v>
      </c>
      <c r="O22" s="15" t="s">
        <v>2066</v>
      </c>
      <c r="P22" s="15"/>
      <c r="Q22" s="15"/>
      <c r="R22" s="1529"/>
      <c r="S22" s="2455"/>
      <c r="U22" s="20"/>
      <c r="V22" s="1282"/>
      <c r="W22" s="1482"/>
      <c r="X22" s="1865"/>
      <c r="Y22" s="1866">
        <f t="shared" si="3"/>
        <v>0</v>
      </c>
      <c r="Z22" s="1538">
        <f>(Y22/Y9)*Z10</f>
        <v>0</v>
      </c>
      <c r="AA22" s="18" t="str">
        <f>IF(ISBLANK(U22),"",(U22/Y9)*Z10)</f>
        <v/>
      </c>
      <c r="AB22" s="17">
        <f t="shared" si="0"/>
        <v>0</v>
      </c>
      <c r="AD22" s="2593"/>
      <c r="AE22" s="2594"/>
      <c r="AF22" s="2594"/>
      <c r="AG22" s="2594"/>
      <c r="AH22" s="2595"/>
    </row>
    <row r="23" spans="1:34" ht="18.95" customHeight="1">
      <c r="A23" s="2540"/>
      <c r="B23" s="1806">
        <f>IF(ISTEXT(U23),U23,IF(ISBLANK(U23),0,(U23/Y9)*F9))</f>
        <v>0</v>
      </c>
      <c r="C23" s="1541">
        <f t="shared" si="1"/>
        <v>0</v>
      </c>
      <c r="D23" s="51">
        <f>((Y23/Y9)*F9)</f>
        <v>105.71495020825846</v>
      </c>
      <c r="E23" s="22" t="str">
        <f t="shared" si="2"/>
        <v xml:space="preserve"> 250 g de poitrine de porc fraîche pas trop maigre</v>
      </c>
      <c r="F23" s="1540"/>
      <c r="G23" s="2585"/>
      <c r="H23" s="1844">
        <v>7</v>
      </c>
      <c r="I23" s="15" t="s">
        <v>2067</v>
      </c>
      <c r="J23" s="15"/>
      <c r="K23" s="15"/>
      <c r="L23" s="1529"/>
      <c r="M23" s="2585"/>
      <c r="N23" s="1844"/>
      <c r="O23" s="15" t="s">
        <v>2068</v>
      </c>
      <c r="P23" s="15"/>
      <c r="Q23" s="15"/>
      <c r="R23" s="1529"/>
      <c r="S23" s="2455"/>
      <c r="U23" s="20"/>
      <c r="V23" s="1282"/>
      <c r="W23" s="1482">
        <v>250</v>
      </c>
      <c r="X23" s="19" t="s">
        <v>2069</v>
      </c>
      <c r="Y23" s="1837">
        <f>IF(ISBLANK(U23),W23,(W23*U23))</f>
        <v>250</v>
      </c>
      <c r="Z23" s="1538">
        <f>(Y23/Y9)*Z10</f>
        <v>105.71495020825846</v>
      </c>
      <c r="AA23" s="18" t="str">
        <f>IF(ISBLANK(U23),"",(U23/Y9)*Z10)</f>
        <v/>
      </c>
      <c r="AB23" s="17">
        <f t="shared" si="0"/>
        <v>0</v>
      </c>
      <c r="AD23" s="2596" t="s">
        <v>1736</v>
      </c>
      <c r="AE23" s="2597"/>
      <c r="AF23" s="2597"/>
      <c r="AG23" s="2597"/>
      <c r="AH23" s="2598"/>
    </row>
    <row r="24" spans="1:34" ht="18.95" customHeight="1">
      <c r="A24" s="2540"/>
      <c r="B24" s="1806">
        <f>IF(ISTEXT(U24),U24,IF(ISBLANK(U24),0,(U24/Y9)*F9))</f>
        <v>0</v>
      </c>
      <c r="C24" s="1541">
        <f t="shared" si="1"/>
        <v>0</v>
      </c>
      <c r="D24" s="51">
        <f>((Y24/Y9)*F9)</f>
        <v>274.85887054147202</v>
      </c>
      <c r="E24" s="22" t="str">
        <f t="shared" si="2"/>
        <v xml:space="preserve"> 650 g de porc (épaule) ou moitié porc et veau ou aussi volaille</v>
      </c>
      <c r="F24" s="1540"/>
      <c r="G24" s="2585"/>
      <c r="H24" s="1844">
        <v>8</v>
      </c>
      <c r="I24" s="15" t="s">
        <v>2070</v>
      </c>
      <c r="J24" s="15"/>
      <c r="K24" s="15"/>
      <c r="L24" s="1529"/>
      <c r="M24" s="2585"/>
      <c r="N24" s="1844">
        <v>7</v>
      </c>
      <c r="O24" s="15" t="s">
        <v>2071</v>
      </c>
      <c r="P24" s="15"/>
      <c r="Q24" s="15"/>
      <c r="R24" s="1529"/>
      <c r="S24" s="2455"/>
      <c r="U24" s="20"/>
      <c r="V24" s="1282"/>
      <c r="W24" s="1482">
        <v>650</v>
      </c>
      <c r="X24" s="19" t="s">
        <v>2072</v>
      </c>
      <c r="Y24" s="1837">
        <f t="shared" si="3"/>
        <v>650</v>
      </c>
      <c r="Z24" s="1538">
        <f>Y24/Y9*Z10</f>
        <v>274.85887054147202</v>
      </c>
      <c r="AA24" s="18" t="str">
        <f>IF(ISBLANK(U24),"",(U24/Y9)*Z10)</f>
        <v/>
      </c>
      <c r="AB24" s="17">
        <f t="shared" si="0"/>
        <v>0</v>
      </c>
      <c r="AD24" s="1536" t="s">
        <v>1735</v>
      </c>
      <c r="AE24" s="1535"/>
      <c r="AF24" s="1535"/>
      <c r="AG24" s="1535"/>
      <c r="AH24" s="1534"/>
    </row>
    <row r="25" spans="1:34" ht="18.95" customHeight="1">
      <c r="A25" s="2540"/>
      <c r="B25" s="1806">
        <f>IF(ISTEXT(U25),U25,IF(ISBLANK(U25),0,(U25/Y9)*F9))</f>
        <v>0</v>
      </c>
      <c r="C25" s="1541">
        <f t="shared" si="1"/>
        <v>0</v>
      </c>
      <c r="D25" s="51">
        <f>((Y25/Y9)*F9)</f>
        <v>105.71495020825846</v>
      </c>
      <c r="E25" s="22" t="str">
        <f t="shared" si="2"/>
        <v xml:space="preserve"> 250 g de mie de pain</v>
      </c>
      <c r="F25" s="1540"/>
      <c r="G25" s="2585"/>
      <c r="H25" s="1844">
        <v>9</v>
      </c>
      <c r="I25" s="15" t="s">
        <v>2073</v>
      </c>
      <c r="J25" s="15"/>
      <c r="K25" s="15"/>
      <c r="L25" s="1529"/>
      <c r="M25" s="2585"/>
      <c r="N25" s="1844">
        <v>8</v>
      </c>
      <c r="O25" s="15" t="s">
        <v>2074</v>
      </c>
      <c r="P25" s="15"/>
      <c r="Q25" s="15"/>
      <c r="R25" s="1529"/>
      <c r="S25" s="2455"/>
      <c r="U25" s="20"/>
      <c r="V25" s="1282"/>
      <c r="W25" s="1482">
        <v>250</v>
      </c>
      <c r="X25" s="19" t="s">
        <v>2075</v>
      </c>
      <c r="Y25" s="1837">
        <f t="shared" si="3"/>
        <v>250</v>
      </c>
      <c r="Z25" s="1538">
        <f>Y25/Y9*Z10</f>
        <v>105.71495020825846</v>
      </c>
      <c r="AA25" s="18" t="str">
        <f>IF(ISBLANK(U25),"",(U25/Y9)*Z10)</f>
        <v/>
      </c>
      <c r="AB25" s="17">
        <f t="shared" si="0"/>
        <v>0</v>
      </c>
      <c r="AD25" s="2599" t="s">
        <v>1733</v>
      </c>
      <c r="AE25" s="2600"/>
      <c r="AF25" s="2600"/>
      <c r="AG25" s="2600"/>
      <c r="AH25" s="1523"/>
    </row>
    <row r="26" spans="1:34" ht="18.95" customHeight="1" thickBot="1">
      <c r="A26" s="2540"/>
      <c r="B26" s="1806">
        <f>IF(ISTEXT(U26),U26,IF(ISBLANK(U26),0,(U26/Y9)*F9))</f>
        <v>0</v>
      </c>
      <c r="C26" s="1541">
        <f t="shared" si="1"/>
        <v>0</v>
      </c>
      <c r="D26" s="51">
        <f>((Y26/Y9)*F9)</f>
        <v>126.85794024991014</v>
      </c>
      <c r="E26" s="22" t="str">
        <f t="shared" si="2"/>
        <v xml:space="preserve"> 30 cl de lait</v>
      </c>
      <c r="F26" s="1540"/>
      <c r="G26" s="2585"/>
      <c r="H26" s="1844"/>
      <c r="I26" s="15" t="s">
        <v>2076</v>
      </c>
      <c r="J26" s="15"/>
      <c r="K26" s="15"/>
      <c r="L26" s="1529"/>
      <c r="M26" s="2585"/>
      <c r="N26" s="1844"/>
      <c r="O26" s="15" t="s">
        <v>2077</v>
      </c>
      <c r="P26" s="15"/>
      <c r="Q26" s="15"/>
      <c r="R26" s="1529"/>
      <c r="S26" s="2455"/>
      <c r="U26" s="20"/>
      <c r="V26" s="1282"/>
      <c r="W26" s="1482">
        <v>300</v>
      </c>
      <c r="X26" s="19" t="s">
        <v>2078</v>
      </c>
      <c r="Y26" s="1837">
        <f t="shared" si="3"/>
        <v>300</v>
      </c>
      <c r="Z26" s="1538">
        <f>Y26/Y9*Z10</f>
        <v>126.85794024991014</v>
      </c>
      <c r="AA26" s="18" t="str">
        <f>IF(ISBLANK(U26),"",(U26/Y9)*Z10)</f>
        <v/>
      </c>
      <c r="AB26" s="17">
        <f t="shared" si="0"/>
        <v>0</v>
      </c>
      <c r="AD26" s="2601" t="s">
        <v>1731</v>
      </c>
      <c r="AE26" s="2602"/>
      <c r="AF26" s="2602"/>
      <c r="AG26" s="2602"/>
      <c r="AH26" s="2603"/>
    </row>
    <row r="27" spans="1:34" ht="18.95" customHeight="1">
      <c r="A27" s="2540"/>
      <c r="B27" s="1806">
        <f>IF(ISTEXT(U27),U27,IF(ISBLANK(U27),0,(U27/Y9)*F9))</f>
        <v>0</v>
      </c>
      <c r="C27" s="1541">
        <f t="shared" si="1"/>
        <v>0</v>
      </c>
      <c r="D27" s="51">
        <f>((Y27/Y9)*F9)</f>
        <v>126.85794024991014</v>
      </c>
      <c r="E27" s="22" t="str">
        <f t="shared" si="2"/>
        <v xml:space="preserve"> 30 cl de crème fraîche liquide</v>
      </c>
      <c r="F27" s="1540"/>
      <c r="G27" s="2585"/>
      <c r="H27" s="1844"/>
      <c r="I27" s="15" t="s">
        <v>2079</v>
      </c>
      <c r="J27" s="15"/>
      <c r="K27" s="15"/>
      <c r="L27" s="1529"/>
      <c r="M27" s="2585"/>
      <c r="N27" s="1844"/>
      <c r="O27" s="15" t="s">
        <v>2080</v>
      </c>
      <c r="P27" s="15"/>
      <c r="Q27" s="15"/>
      <c r="R27" s="1529"/>
      <c r="S27" s="2455"/>
      <c r="U27" s="20"/>
      <c r="V27" s="1282"/>
      <c r="W27" s="1482">
        <v>300</v>
      </c>
      <c r="X27" s="19" t="s">
        <v>2081</v>
      </c>
      <c r="Y27" s="1837">
        <f t="shared" si="3"/>
        <v>300</v>
      </c>
      <c r="Z27" s="1538">
        <f>Y27/Y9*Z10</f>
        <v>126.85794024991014</v>
      </c>
      <c r="AA27" s="18" t="str">
        <f>IF(ISBLANK(U27),"",(U27/Y9)*Z10)</f>
        <v/>
      </c>
      <c r="AB27" s="17">
        <f t="shared" si="0"/>
        <v>0</v>
      </c>
    </row>
    <row r="28" spans="1:34" ht="18.95" customHeight="1">
      <c r="A28" s="2540"/>
      <c r="B28" s="1806">
        <f>IF(ISTEXT(U28),U28,IF(ISBLANK(U28),0,(U28/Y9)*F9))</f>
        <v>0</v>
      </c>
      <c r="C28" s="1541">
        <f t="shared" si="1"/>
        <v>0</v>
      </c>
      <c r="D28" s="51">
        <f>((Y28/Y9)*F9)</f>
        <v>126.85794024991014</v>
      </c>
      <c r="E28" s="22" t="str">
        <f t="shared" si="2"/>
        <v xml:space="preserve"> 300 g d’oignons</v>
      </c>
      <c r="F28" s="1540"/>
      <c r="G28" s="2585"/>
      <c r="H28" s="1844"/>
      <c r="I28" s="15" t="s">
        <v>2082</v>
      </c>
      <c r="J28" s="15"/>
      <c r="K28" s="15"/>
      <c r="L28" s="1529"/>
      <c r="M28" s="2585"/>
      <c r="N28" s="1844"/>
      <c r="O28" s="15" t="s">
        <v>2083</v>
      </c>
      <c r="P28" s="15"/>
      <c r="Q28" s="15"/>
      <c r="R28" s="1529"/>
      <c r="S28" s="2455"/>
      <c r="U28" s="20"/>
      <c r="V28" s="1282"/>
      <c r="W28" s="1482">
        <v>300</v>
      </c>
      <c r="X28" s="19" t="s">
        <v>2084</v>
      </c>
      <c r="Y28" s="1837">
        <f t="shared" si="3"/>
        <v>300</v>
      </c>
      <c r="Z28" s="1538">
        <f>Y28/Y9*Z10</f>
        <v>126.85794024991014</v>
      </c>
      <c r="AA28" s="18" t="str">
        <f>IF(ISBLANK(U28),"",(U28/Y9)*Z10)</f>
        <v/>
      </c>
      <c r="AB28" s="17">
        <f t="shared" si="0"/>
        <v>0</v>
      </c>
    </row>
    <row r="29" spans="1:34" ht="18.95" customHeight="1">
      <c r="A29" s="2540"/>
      <c r="B29" s="1806">
        <f>IF(ISTEXT(U29),U29,IF(ISBLANK(U29),0,(U29/Y9)*F9))</f>
        <v>0.84571960166606763</v>
      </c>
      <c r="C29" s="1541" t="str">
        <f t="shared" si="1"/>
        <v>échalotes</v>
      </c>
      <c r="D29" s="51">
        <f>((Y29/Y9)*F9)</f>
        <v>0</v>
      </c>
      <c r="E29" s="22" t="str">
        <f t="shared" si="2"/>
        <v xml:space="preserve"> 2 belles échalotes</v>
      </c>
      <c r="F29" s="1540"/>
      <c r="G29" s="2585"/>
      <c r="H29" s="1844">
        <v>10</v>
      </c>
      <c r="I29" s="15" t="s">
        <v>2085</v>
      </c>
      <c r="J29" s="15"/>
      <c r="K29" s="15"/>
      <c r="L29" s="1529"/>
      <c r="M29" s="2585"/>
      <c r="N29" s="1844">
        <v>9</v>
      </c>
      <c r="O29" s="15" t="s">
        <v>2086</v>
      </c>
      <c r="P29" s="15"/>
      <c r="Q29" s="15"/>
      <c r="R29" s="1529"/>
      <c r="S29" s="2455"/>
      <c r="U29" s="20">
        <v>2</v>
      </c>
      <c r="V29" s="1282" t="s">
        <v>2087</v>
      </c>
      <c r="W29" s="1482"/>
      <c r="X29" s="19" t="s">
        <v>2088</v>
      </c>
      <c r="Y29" s="1837">
        <f t="shared" si="3"/>
        <v>0</v>
      </c>
      <c r="Z29" s="1538">
        <f>Y29/Y9*Z10</f>
        <v>0</v>
      </c>
      <c r="AA29" s="18">
        <f>IF(ISBLANK(U29),"",(U29/Y9)*Z10)</f>
        <v>0.84571960166606763</v>
      </c>
      <c r="AB29" s="17" t="str">
        <f t="shared" si="0"/>
        <v>échalotes</v>
      </c>
    </row>
    <row r="30" spans="1:34" ht="18.95" customHeight="1">
      <c r="A30" s="2540"/>
      <c r="B30" s="1806">
        <f>IF(ISTEXT(U30),U30,IF(ISBLANK(U30),0,(U30/Y9)*F9))</f>
        <v>0.42285980083303382</v>
      </c>
      <c r="C30" s="1541" t="str">
        <f t="shared" si="1"/>
        <v>C/S</v>
      </c>
      <c r="D30" s="51">
        <f>((Y30/Y9)*F9)</f>
        <v>0</v>
      </c>
      <c r="E30" s="22" t="str">
        <f t="shared" si="2"/>
        <v xml:space="preserve"> 1 cuillère à soupe de beurre</v>
      </c>
      <c r="F30" s="1540"/>
      <c r="G30" s="2585"/>
      <c r="H30" s="1826"/>
      <c r="I30" s="15"/>
      <c r="J30" s="15"/>
      <c r="K30" s="15"/>
      <c r="L30" s="1529"/>
      <c r="M30" s="2585"/>
      <c r="N30" s="1844">
        <v>10</v>
      </c>
      <c r="O30" s="15" t="s">
        <v>2089</v>
      </c>
      <c r="P30" s="15"/>
      <c r="Q30" s="15"/>
      <c r="R30" s="1529"/>
      <c r="S30" s="2455"/>
      <c r="U30" s="20">
        <v>1</v>
      </c>
      <c r="V30" s="1282" t="s">
        <v>454</v>
      </c>
      <c r="W30" s="1482"/>
      <c r="X30" s="19" t="s">
        <v>2090</v>
      </c>
      <c r="Y30" s="1837">
        <f t="shared" si="3"/>
        <v>0</v>
      </c>
      <c r="Z30" s="1538">
        <f>Y30/Y9*Z10</f>
        <v>0</v>
      </c>
      <c r="AA30" s="18">
        <f>IF(ISBLANK(U30),"",(U30/Y9)*Z10)</f>
        <v>0.42285980083303382</v>
      </c>
      <c r="AB30" s="17" t="str">
        <f t="shared" si="0"/>
        <v>C/S</v>
      </c>
    </row>
    <row r="31" spans="1:34" ht="18.95" customHeight="1">
      <c r="A31" s="2540"/>
      <c r="B31" s="1806">
        <f>IF(ISTEXT(U31),U31,IF(ISBLANK(U31),0,(U31/Y9)*F9))</f>
        <v>1.2685794024991015</v>
      </c>
      <c r="C31" s="1541" t="str">
        <f t="shared" si="1"/>
        <v>pincées</v>
      </c>
      <c r="D31" s="51">
        <f>((Y31/Y9)*F9)</f>
        <v>0</v>
      </c>
      <c r="E31" s="22" t="str">
        <f t="shared" si="2"/>
        <v xml:space="preserve"> 3 pincées de noix de muscade</v>
      </c>
      <c r="F31" s="1540"/>
      <c r="G31" s="2585"/>
      <c r="H31" s="1844"/>
      <c r="I31" s="15"/>
      <c r="J31" s="15"/>
      <c r="K31" s="15"/>
      <c r="L31" s="1529"/>
      <c r="M31" s="2585"/>
      <c r="N31" s="1844">
        <v>11</v>
      </c>
      <c r="O31" s="15" t="s">
        <v>2091</v>
      </c>
      <c r="P31" s="15"/>
      <c r="Q31" s="15"/>
      <c r="R31" s="1529"/>
      <c r="S31" s="2455"/>
      <c r="U31" s="20">
        <v>3</v>
      </c>
      <c r="V31" s="1282" t="s">
        <v>2092</v>
      </c>
      <c r="W31" s="1482"/>
      <c r="X31" s="19" t="s">
        <v>2093</v>
      </c>
      <c r="Y31" s="1837">
        <f t="shared" si="3"/>
        <v>0</v>
      </c>
      <c r="Z31" s="1538">
        <f>Y31/Y9*Z10</f>
        <v>0</v>
      </c>
      <c r="AA31" s="18">
        <f>IF(ISBLANK(U31),"",(U31/Y9)*Z10)</f>
        <v>1.2685794024991015</v>
      </c>
      <c r="AB31" s="17" t="str">
        <f t="shared" si="0"/>
        <v>pincées</v>
      </c>
    </row>
    <row r="32" spans="1:34" ht="18.95" customHeight="1">
      <c r="A32" s="2540"/>
      <c r="B32" s="1806">
        <f>IF(ISTEXT(U32),U32,IF(ISBLANK(U32),0,(U32/Y9)*F9))</f>
        <v>0.84571960166606763</v>
      </c>
      <c r="C32" s="1541" t="str">
        <f t="shared" si="1"/>
        <v>C/S</v>
      </c>
      <c r="D32" s="51">
        <f>((Y32/Y9)*F9)</f>
        <v>0</v>
      </c>
      <c r="E32" s="22" t="str">
        <f t="shared" si="2"/>
        <v xml:space="preserve"> 2 cuillères à soupe de persillade </v>
      </c>
      <c r="F32" s="1540"/>
      <c r="G32" s="2585"/>
      <c r="H32" s="1844"/>
      <c r="I32" s="15"/>
      <c r="J32" s="15"/>
      <c r="K32" s="15"/>
      <c r="L32" s="1529"/>
      <c r="M32" s="2585"/>
      <c r="N32" s="1844">
        <v>12</v>
      </c>
      <c r="O32" s="15" t="s">
        <v>2094</v>
      </c>
      <c r="P32" s="15"/>
      <c r="Q32" s="15"/>
      <c r="R32" s="1529"/>
      <c r="S32" s="2455"/>
      <c r="U32" s="20">
        <v>2</v>
      </c>
      <c r="V32" s="1282" t="s">
        <v>454</v>
      </c>
      <c r="W32" s="1482"/>
      <c r="X32" s="19" t="s">
        <v>2095</v>
      </c>
      <c r="Y32" s="1837">
        <f t="shared" si="3"/>
        <v>0</v>
      </c>
      <c r="Z32" s="1538">
        <f>Y32/Y9*Z10</f>
        <v>0</v>
      </c>
      <c r="AA32" s="18">
        <f>IF(ISBLANK(U32),"",(U32/Y9)*Z10)</f>
        <v>0.84571960166606763</v>
      </c>
      <c r="AB32" s="17" t="str">
        <f t="shared" si="0"/>
        <v>C/S</v>
      </c>
    </row>
    <row r="33" spans="1:28" ht="18.95" customHeight="1">
      <c r="A33" s="2540"/>
      <c r="B33" s="1806">
        <f>IF(ISTEXT(U33),U33,IF(ISBLANK(U33),0,(U33/Y9)*F9))</f>
        <v>0</v>
      </c>
      <c r="C33" s="1541">
        <f t="shared" si="1"/>
        <v>0</v>
      </c>
      <c r="D33" s="51">
        <f>((Y33/Y9)*F9)</f>
        <v>0</v>
      </c>
      <c r="E33" s="22" t="str">
        <f t="shared" si="2"/>
        <v>et herbes de Provence en mélange(fraîches ou séchées)</v>
      </c>
      <c r="F33" s="1540"/>
      <c r="G33" s="2585"/>
      <c r="H33" s="1844"/>
      <c r="I33" s="15"/>
      <c r="J33" s="15"/>
      <c r="K33" s="15"/>
      <c r="L33" s="1529"/>
      <c r="M33" s="2585"/>
      <c r="N33" s="1844">
        <v>13</v>
      </c>
      <c r="O33" s="15" t="s">
        <v>2096</v>
      </c>
      <c r="P33" s="15"/>
      <c r="Q33" s="15"/>
      <c r="R33" s="1529"/>
      <c r="S33" s="2455"/>
      <c r="U33" s="20"/>
      <c r="V33" s="1282"/>
      <c r="W33" s="1482"/>
      <c r="X33" s="19" t="s">
        <v>2097</v>
      </c>
      <c r="Y33" s="1837">
        <f t="shared" si="3"/>
        <v>0</v>
      </c>
      <c r="Z33" s="1538">
        <f>Y33/Y9*Z10</f>
        <v>0</v>
      </c>
      <c r="AA33" s="18" t="str">
        <f>IF(ISBLANK(U33),"",(U33/Y9)*Z10)</f>
        <v/>
      </c>
      <c r="AB33" s="17">
        <f t="shared" si="0"/>
        <v>0</v>
      </c>
    </row>
    <row r="34" spans="1:28" ht="18.95" customHeight="1">
      <c r="A34" s="2540"/>
      <c r="B34" s="1806">
        <f>IF(ISTEXT(U34),U34,IF(ISBLANK(U34),0,(U34/Y9)*F9))</f>
        <v>0.42285980083303382</v>
      </c>
      <c r="C34" s="1541" t="str">
        <f t="shared" si="1"/>
        <v>C/C</v>
      </c>
      <c r="D34" s="51">
        <f>((Y34/Y9)*F9)</f>
        <v>0</v>
      </c>
      <c r="E34" s="22" t="str">
        <f t="shared" si="2"/>
        <v xml:space="preserve"> 1 cuillère à café de quatre épices</v>
      </c>
      <c r="F34" s="1540"/>
      <c r="G34" s="2585"/>
      <c r="H34" s="1844"/>
      <c r="I34" s="15"/>
      <c r="J34" s="15"/>
      <c r="K34" s="15"/>
      <c r="L34" s="1529"/>
      <c r="M34" s="2585"/>
      <c r="N34" s="1844">
        <v>14</v>
      </c>
      <c r="O34" s="15" t="s">
        <v>2098</v>
      </c>
      <c r="P34" s="15"/>
      <c r="Q34" s="15"/>
      <c r="R34" s="1529"/>
      <c r="S34" s="2455"/>
      <c r="U34" s="20">
        <v>1</v>
      </c>
      <c r="V34" s="1560" t="s">
        <v>125</v>
      </c>
      <c r="W34" s="1482"/>
      <c r="X34" s="19" t="s">
        <v>2099</v>
      </c>
      <c r="Y34" s="1837">
        <f t="shared" si="3"/>
        <v>0</v>
      </c>
      <c r="Z34" s="1538">
        <f>Y34/Y9*Z10</f>
        <v>0</v>
      </c>
      <c r="AA34" s="18">
        <f>IF(ISBLANK(U34),"",(U34/Y9)*Z10)</f>
        <v>0.42285980083303382</v>
      </c>
      <c r="AB34" s="17" t="str">
        <f t="shared" si="0"/>
        <v>C/C</v>
      </c>
    </row>
    <row r="35" spans="1:28" ht="18.95" customHeight="1">
      <c r="A35" s="2540"/>
      <c r="B35" s="1806">
        <f>IF(ISTEXT(U35),U35,IF(ISBLANK(U35),0,(U35/Y9)*F9))</f>
        <v>0</v>
      </c>
      <c r="C35" s="1541">
        <f t="shared" si="1"/>
        <v>0</v>
      </c>
      <c r="D35" s="51">
        <f>((Y35/Y9)*F9)</f>
        <v>0</v>
      </c>
      <c r="E35" s="22" t="str">
        <f t="shared" si="2"/>
        <v xml:space="preserve"> Poivre du moulin</v>
      </c>
      <c r="F35" s="1540"/>
      <c r="G35" s="2585"/>
      <c r="H35" s="1844"/>
      <c r="I35" s="15"/>
      <c r="J35" s="15"/>
      <c r="K35" s="15"/>
      <c r="L35" s="1529"/>
      <c r="M35" s="2585"/>
      <c r="N35" s="1844"/>
      <c r="O35" s="15" t="s">
        <v>2100</v>
      </c>
      <c r="P35" s="15"/>
      <c r="Q35" s="15"/>
      <c r="R35" s="1529"/>
      <c r="S35" s="2455"/>
      <c r="U35" s="1867"/>
      <c r="V35" s="1868"/>
      <c r="W35" s="1869"/>
      <c r="X35" s="19" t="s">
        <v>2101</v>
      </c>
      <c r="Y35" s="1837">
        <f t="shared" si="3"/>
        <v>0</v>
      </c>
      <c r="Z35" s="1538">
        <f>Y35/Y9*Z10</f>
        <v>0</v>
      </c>
      <c r="AA35" s="18" t="str">
        <f>IF(ISBLANK(U35),"",(U35/Y9)*Z10)</f>
        <v/>
      </c>
      <c r="AB35" s="17">
        <f t="shared" si="0"/>
        <v>0</v>
      </c>
    </row>
    <row r="36" spans="1:28" ht="18.95" customHeight="1">
      <c r="A36" s="2540"/>
      <c r="B36" s="1870">
        <f>IF(ISTEXT(U36),U36,IF(ISBLANK(U36),0,(U36/Y9)*F9))</f>
        <v>0</v>
      </c>
      <c r="C36" s="1871">
        <f t="shared" si="1"/>
        <v>0</v>
      </c>
      <c r="D36" s="1872">
        <v>17</v>
      </c>
      <c r="E36" s="1873" t="str">
        <f t="shared" si="2"/>
        <v xml:space="preserve"> Sel (17 g par kilo de mêlée)</v>
      </c>
      <c r="F36" s="1874"/>
      <c r="G36" s="2585"/>
      <c r="H36" s="1844"/>
      <c r="I36" s="15"/>
      <c r="J36" s="15"/>
      <c r="K36" s="15"/>
      <c r="L36" s="1529"/>
      <c r="M36" s="2585"/>
      <c r="N36" s="1844"/>
      <c r="O36" s="15" t="s">
        <v>2102</v>
      </c>
      <c r="P36" s="15"/>
      <c r="Q36" s="15"/>
      <c r="R36" s="1529"/>
      <c r="S36" s="2455"/>
      <c r="U36" s="1875"/>
      <c r="V36" s="1876"/>
      <c r="W36" s="1877">
        <v>17</v>
      </c>
      <c r="X36" s="1878" t="s">
        <v>2103</v>
      </c>
      <c r="Y36" s="1879"/>
      <c r="Z36" s="1538">
        <f>Y36/Y9*Z10</f>
        <v>0</v>
      </c>
      <c r="AA36" s="18" t="str">
        <f>IF(ISBLANK(U36),"",(U36/Y9)*Z10)</f>
        <v/>
      </c>
      <c r="AB36" s="17">
        <f t="shared" si="0"/>
        <v>0</v>
      </c>
    </row>
    <row r="37" spans="1:28" ht="18.95" customHeight="1">
      <c r="A37" s="2540"/>
      <c r="B37" s="1880">
        <f>IF(ISTEXT(U37),U37,IF(ISBLANK(U37),0,(U37/Y9)*F9))</f>
        <v>0</v>
      </c>
      <c r="C37" s="1881">
        <f t="shared" si="1"/>
        <v>0</v>
      </c>
      <c r="D37" s="1882">
        <f>SUM(D23:D35)</f>
        <v>866.86259170771939</v>
      </c>
      <c r="E37" s="1883" t="str">
        <f t="shared" si="2"/>
        <v>Poids de mélée</v>
      </c>
      <c r="F37" s="1884"/>
      <c r="G37" s="2585"/>
      <c r="H37" s="1844"/>
      <c r="I37" s="15"/>
      <c r="J37" s="15"/>
      <c r="K37" s="15"/>
      <c r="L37" s="1529"/>
      <c r="M37" s="2585"/>
      <c r="N37" s="1844"/>
      <c r="O37" s="15"/>
      <c r="P37" s="15"/>
      <c r="Q37" s="15"/>
      <c r="R37" s="1529"/>
      <c r="S37" s="2455"/>
      <c r="U37" s="1885"/>
      <c r="V37" s="1886"/>
      <c r="W37" s="1887">
        <f>SUM(Y22:Y35)</f>
        <v>2050</v>
      </c>
      <c r="X37" s="1888" t="s">
        <v>2104</v>
      </c>
      <c r="Y37" s="1879"/>
      <c r="Z37" s="1538">
        <f>Y37/Y9*Z10</f>
        <v>0</v>
      </c>
      <c r="AA37" s="18" t="str">
        <f>IF(ISBLANK(U37),"",(U37/Y9)*Z10)</f>
        <v/>
      </c>
      <c r="AB37" s="17">
        <f t="shared" si="0"/>
        <v>0</v>
      </c>
    </row>
    <row r="38" spans="1:28" ht="18.95" customHeight="1">
      <c r="A38" s="2540"/>
      <c r="B38" s="1889">
        <f>IF(ISTEXT(U38),U38,IF(ISBLANK(U38),0,(U38/Y9)*F9))</f>
        <v>0</v>
      </c>
      <c r="C38" s="1541">
        <f t="shared" si="1"/>
        <v>0</v>
      </c>
      <c r="D38" s="51">
        <f>(D36/1000)*D37</f>
        <v>14.736664059031231</v>
      </c>
      <c r="E38" s="22" t="str">
        <f t="shared" si="2"/>
        <v>Poids de sel</v>
      </c>
      <c r="F38" s="1540"/>
      <c r="G38" s="2585"/>
      <c r="H38" s="1844"/>
      <c r="I38" s="15"/>
      <c r="J38" s="15"/>
      <c r="K38" s="15"/>
      <c r="L38" s="1529"/>
      <c r="M38" s="2585"/>
      <c r="N38" s="1844"/>
      <c r="O38" s="15" t="s">
        <v>2105</v>
      </c>
      <c r="P38" s="15"/>
      <c r="Q38" s="15"/>
      <c r="R38" s="1529"/>
      <c r="S38" s="2455"/>
      <c r="U38" s="20"/>
      <c r="V38" s="1282"/>
      <c r="W38" s="1890">
        <f>(W36/1000)*W37</f>
        <v>34.85</v>
      </c>
      <c r="X38" s="1511" t="s">
        <v>2106</v>
      </c>
      <c r="Y38" s="1837">
        <f t="shared" si="3"/>
        <v>34.85</v>
      </c>
      <c r="Z38" s="1538">
        <f>Y38/Y9*Z10</f>
        <v>14.736664059031229</v>
      </c>
      <c r="AA38" s="18" t="str">
        <f>IF(ISBLANK(U38),"",(U38/Y9)*Z10)</f>
        <v/>
      </c>
      <c r="AB38" s="17">
        <f t="shared" si="0"/>
        <v>0</v>
      </c>
    </row>
    <row r="39" spans="1:28" ht="18.95" customHeight="1">
      <c r="A39" s="2540"/>
      <c r="B39" s="1889">
        <f>IF(ISTEXT(U39),U39,IF(ISBLANK(U39),0,(U39/Y9)*F9))</f>
        <v>1.6914392033321353</v>
      </c>
      <c r="C39" s="1541" t="str">
        <f t="shared" si="1"/>
        <v>jaunes</v>
      </c>
      <c r="D39" s="51">
        <f>((Y39/Y9)*F9)</f>
        <v>33.828784066642704</v>
      </c>
      <c r="E39" s="22" t="str">
        <f t="shared" si="2"/>
        <v xml:space="preserve"> 4 jaunes d’œuf</v>
      </c>
      <c r="F39" s="1540"/>
      <c r="G39" s="2585"/>
      <c r="H39" s="1844"/>
      <c r="I39" s="15"/>
      <c r="J39" s="15"/>
      <c r="K39" s="15"/>
      <c r="L39" s="1529"/>
      <c r="M39" s="2585"/>
      <c r="N39" s="1844"/>
      <c r="O39" s="15" t="s">
        <v>2107</v>
      </c>
      <c r="P39" s="15"/>
      <c r="Q39" s="15"/>
      <c r="R39" s="1529"/>
      <c r="S39" s="2455"/>
      <c r="U39" s="20">
        <v>4</v>
      </c>
      <c r="V39" s="1282" t="s">
        <v>424</v>
      </c>
      <c r="W39" s="1482">
        <v>20</v>
      </c>
      <c r="X39" s="19" t="s">
        <v>2108</v>
      </c>
      <c r="Y39" s="1891">
        <f t="shared" si="3"/>
        <v>80</v>
      </c>
      <c r="Z39" s="1538">
        <f>Y39/Y9*Z10</f>
        <v>33.828784066642704</v>
      </c>
      <c r="AA39" s="18">
        <f>IF(ISBLANK(U39),"",(U39/Y9)*Z10)</f>
        <v>1.6914392033321353</v>
      </c>
      <c r="AB39" s="17" t="str">
        <f t="shared" si="0"/>
        <v>jaunes</v>
      </c>
    </row>
    <row r="40" spans="1:28" ht="18.95" customHeight="1">
      <c r="A40" s="2540"/>
      <c r="B40" s="1806">
        <f>IF(ISTEXT(U40),U40,IF(ISBLANK(U40),0,(U40/Y9)*F9))</f>
        <v>2.114299004165169</v>
      </c>
      <c r="C40" s="1541" t="str">
        <f t="shared" si="1"/>
        <v>C/S</v>
      </c>
      <c r="D40" s="51">
        <f>((Y40/Y9)*F9)</f>
        <v>0</v>
      </c>
      <c r="E40" s="22" t="str">
        <f t="shared" si="2"/>
        <v xml:space="preserve"> 5 cuillères à soupe de Porto ou Madère</v>
      </c>
      <c r="F40" s="1540"/>
      <c r="G40" s="2585"/>
      <c r="H40" s="1844"/>
      <c r="I40" s="15"/>
      <c r="J40" s="15"/>
      <c r="K40" s="15"/>
      <c r="L40" s="1529"/>
      <c r="M40" s="2585"/>
      <c r="N40" s="1844"/>
      <c r="O40" s="15" t="s">
        <v>2109</v>
      </c>
      <c r="P40" s="15"/>
      <c r="Q40" s="15"/>
      <c r="R40" s="1529"/>
      <c r="S40" s="2455"/>
      <c r="U40" s="20">
        <v>5</v>
      </c>
      <c r="V40" s="1282" t="s">
        <v>454</v>
      </c>
      <c r="W40" s="1482"/>
      <c r="X40" s="19" t="s">
        <v>2110</v>
      </c>
      <c r="Y40" s="1837">
        <f t="shared" si="3"/>
        <v>0</v>
      </c>
      <c r="Z40" s="1538">
        <f>Y40/Y9*Z10</f>
        <v>0</v>
      </c>
      <c r="AA40" s="18">
        <f>IF(ISBLANK(U40),"",(U40/Y9)*Z10)</f>
        <v>2.114299004165169</v>
      </c>
      <c r="AB40" s="17" t="str">
        <f t="shared" si="0"/>
        <v>C/S</v>
      </c>
    </row>
    <row r="41" spans="1:28" ht="18.95" customHeight="1">
      <c r="A41" s="2540"/>
      <c r="B41" s="1806">
        <f>IF(ISTEXT(U41),U41,IF(ISBLANK(U41),0,(U41/Y9)*F9))</f>
        <v>0</v>
      </c>
      <c r="C41" s="1541">
        <f t="shared" si="1"/>
        <v>0</v>
      </c>
      <c r="D41" s="51">
        <f>((Y41/Y9)*F9)</f>
        <v>84.571960166606772</v>
      </c>
      <c r="E41" s="22" t="str">
        <f t="shared" si="2"/>
        <v xml:space="preserve"> 200 g de cèpes cuisinés et hachés </v>
      </c>
      <c r="F41" s="1540"/>
      <c r="G41" s="2585"/>
      <c r="H41" s="1844"/>
      <c r="I41" s="15"/>
      <c r="J41" s="15"/>
      <c r="K41" s="15"/>
      <c r="L41" s="1529"/>
      <c r="M41" s="2585"/>
      <c r="N41" s="1844"/>
      <c r="O41" s="15" t="s">
        <v>2111</v>
      </c>
      <c r="P41" s="15"/>
      <c r="Q41" s="15"/>
      <c r="R41" s="1529"/>
      <c r="S41" s="2455"/>
      <c r="U41" s="20"/>
      <c r="V41" s="1282"/>
      <c r="W41" s="1482">
        <v>200</v>
      </c>
      <c r="X41" s="19" t="s">
        <v>2112</v>
      </c>
      <c r="Y41" s="1837">
        <f t="shared" si="3"/>
        <v>200</v>
      </c>
      <c r="Z41" s="1538">
        <f>Y41/Y9*Z10</f>
        <v>84.571960166606772</v>
      </c>
      <c r="AA41" s="18" t="str">
        <f>IF(ISBLANK(U41),"",(U41/Y9)*Z10)</f>
        <v/>
      </c>
      <c r="AB41" s="17">
        <f t="shared" si="0"/>
        <v>0</v>
      </c>
    </row>
    <row r="42" spans="1:28" ht="18.95" customHeight="1">
      <c r="A42" s="2540"/>
      <c r="B42" s="1806">
        <f>IF(ISTEXT(U42),U42,IF(ISBLANK(U42),0,(U42/Y9)*F9))</f>
        <v>0</v>
      </c>
      <c r="C42" s="1541">
        <f t="shared" si="1"/>
        <v>0</v>
      </c>
      <c r="D42" s="51">
        <f>((Y42/Y9)*F9)</f>
        <v>0</v>
      </c>
      <c r="E42" s="22" t="str">
        <f t="shared" si="2"/>
        <v>pour la moitié de la mêlée, l’autre moitié est nature.</v>
      </c>
      <c r="F42" s="1540"/>
      <c r="G42" s="2585"/>
      <c r="H42" s="1844"/>
      <c r="I42" s="15"/>
      <c r="J42" s="15"/>
      <c r="K42" s="15"/>
      <c r="L42" s="1529"/>
      <c r="M42" s="2585"/>
      <c r="N42" s="1844"/>
      <c r="O42" s="15" t="s">
        <v>2113</v>
      </c>
      <c r="P42" s="15"/>
      <c r="Q42" s="15"/>
      <c r="R42" s="1529"/>
      <c r="S42" s="2455"/>
      <c r="U42" s="20"/>
      <c r="V42" s="1282"/>
      <c r="W42" s="1482"/>
      <c r="X42" s="19" t="s">
        <v>2114</v>
      </c>
      <c r="Y42" s="1837">
        <f t="shared" si="3"/>
        <v>0</v>
      </c>
      <c r="Z42" s="1538">
        <f>Y42/Y9*Z10</f>
        <v>0</v>
      </c>
      <c r="AA42" s="18" t="str">
        <f>IF(ISBLANK(U42),"",(U42/Y9)*Z10)</f>
        <v/>
      </c>
      <c r="AB42" s="17">
        <f t="shared" si="0"/>
        <v>0</v>
      </c>
    </row>
    <row r="43" spans="1:28" ht="18.95" customHeight="1">
      <c r="A43" s="2540"/>
      <c r="B43" s="1806">
        <f>IF(ISTEXT(U43),U43,IF(ISBLANK(U43),0,(U43/Y9)*F9))</f>
        <v>0</v>
      </c>
      <c r="C43" s="1541">
        <f t="shared" si="1"/>
        <v>0</v>
      </c>
      <c r="D43" s="51">
        <f>((Y43/Y9)*F9)</f>
        <v>0</v>
      </c>
      <c r="E43" s="1838" t="str">
        <f t="shared" si="2"/>
        <v>QQs boyaux (chez votre boucher ou ici)</v>
      </c>
      <c r="F43" s="1540"/>
      <c r="G43" s="2585"/>
      <c r="H43" s="1844"/>
      <c r="I43" s="15"/>
      <c r="J43" s="15"/>
      <c r="K43" s="15"/>
      <c r="L43" s="1529"/>
      <c r="M43" s="2585"/>
      <c r="N43" s="1844"/>
      <c r="O43" s="15"/>
      <c r="P43" s="15"/>
      <c r="Q43" s="15"/>
      <c r="R43" s="1529"/>
      <c r="S43" s="2455"/>
      <c r="U43" s="20"/>
      <c r="V43" s="1282"/>
      <c r="W43" s="1482"/>
      <c r="X43" s="19" t="s">
        <v>2115</v>
      </c>
      <c r="Y43" s="1837">
        <f t="shared" si="3"/>
        <v>0</v>
      </c>
      <c r="Z43" s="1538">
        <f>Y43/Y9*Z10</f>
        <v>0</v>
      </c>
      <c r="AA43" s="18" t="str">
        <f>IF(ISBLANK(U43),"",(U43/Y9)*Z10)</f>
        <v/>
      </c>
      <c r="AB43" s="17">
        <f t="shared" si="0"/>
        <v>0</v>
      </c>
    </row>
    <row r="44" spans="1:28" ht="18.95" customHeight="1">
      <c r="A44" s="2540"/>
      <c r="B44" s="1806">
        <f>IF(ISTEXT(U44),U44,IF(ISBLANK(U44),0,(U44/Y9)*F9))</f>
        <v>0</v>
      </c>
      <c r="C44" s="1541">
        <f t="shared" si="1"/>
        <v>0</v>
      </c>
      <c r="D44" s="51">
        <f>((Y44/Y9)*F9)</f>
        <v>0</v>
      </c>
      <c r="E44" s="22">
        <f t="shared" si="2"/>
        <v>0</v>
      </c>
      <c r="F44" s="1540"/>
      <c r="G44" s="2585"/>
      <c r="H44" s="1844"/>
      <c r="I44" s="15"/>
      <c r="J44" s="15"/>
      <c r="K44" s="15"/>
      <c r="L44" s="1529"/>
      <c r="M44" s="2585"/>
      <c r="N44" s="1844"/>
      <c r="O44" s="15"/>
      <c r="P44" s="15"/>
      <c r="Q44" s="15"/>
      <c r="R44" s="1529"/>
      <c r="S44" s="2455"/>
      <c r="U44" s="20"/>
      <c r="V44" s="1282"/>
      <c r="W44" s="1482"/>
      <c r="X44" s="19"/>
      <c r="Y44" s="1837">
        <f t="shared" si="3"/>
        <v>0</v>
      </c>
      <c r="Z44" s="1538">
        <f>Y44/Y9*Z10</f>
        <v>0</v>
      </c>
      <c r="AA44" s="18" t="str">
        <f>IF(ISBLANK(U44),"",(U44/Y9)*Z10)</f>
        <v/>
      </c>
      <c r="AB44" s="17">
        <f t="shared" si="0"/>
        <v>0</v>
      </c>
    </row>
    <row r="45" spans="1:28" ht="18.95" customHeight="1">
      <c r="A45" s="2540"/>
      <c r="B45" s="1806">
        <f>IF(ISTEXT(U45),U45,IF(ISBLANK(U45),0,(U45/Y9)*F9))</f>
        <v>0</v>
      </c>
      <c r="C45" s="1541">
        <f t="shared" si="1"/>
        <v>0</v>
      </c>
      <c r="D45" s="51">
        <f>((Y45/Y9)*F9)</f>
        <v>0</v>
      </c>
      <c r="E45" s="22" t="str">
        <f t="shared" si="2"/>
        <v>Pour le bouillon de cuisson :</v>
      </c>
      <c r="F45" s="1540"/>
      <c r="G45" s="2585"/>
      <c r="H45" s="1844"/>
      <c r="I45" s="15"/>
      <c r="J45" s="15"/>
      <c r="K45" s="15"/>
      <c r="L45" s="1529"/>
      <c r="M45" s="2585"/>
      <c r="N45" s="1844"/>
      <c r="O45" s="15"/>
      <c r="P45" s="15"/>
      <c r="Q45" s="15"/>
      <c r="R45" s="1529"/>
      <c r="S45" s="2455"/>
      <c r="U45" s="20"/>
      <c r="V45" s="1282"/>
      <c r="W45" s="1482"/>
      <c r="X45" s="1511" t="s">
        <v>2116</v>
      </c>
      <c r="Y45" s="1837">
        <f t="shared" si="3"/>
        <v>0</v>
      </c>
      <c r="Z45" s="1538">
        <f>Y45/Y9*Z10</f>
        <v>0</v>
      </c>
      <c r="AA45" s="18" t="str">
        <f>IF(ISBLANK(U45),"",(U45/Y9)*Z10)</f>
        <v/>
      </c>
      <c r="AB45" s="17">
        <f t="shared" si="0"/>
        <v>0</v>
      </c>
    </row>
    <row r="46" spans="1:28" ht="18.95" customHeight="1">
      <c r="A46" s="2540"/>
      <c r="B46" s="1806">
        <f>IF(ISTEXT(U46),U46,IF(ISBLANK(U46),0,(U46/Y9)*F9))</f>
        <v>0.84571960166606763</v>
      </c>
      <c r="C46" s="1541" t="str">
        <f t="shared" si="1"/>
        <v>carottes</v>
      </c>
      <c r="D46" s="51">
        <f>((Y46/Y9)*F9)</f>
        <v>0</v>
      </c>
      <c r="E46" s="22" t="str">
        <f t="shared" si="2"/>
        <v xml:space="preserve"> 2 carottes</v>
      </c>
      <c r="F46" s="1540"/>
      <c r="G46" s="2585"/>
      <c r="H46" s="1844"/>
      <c r="I46" s="15"/>
      <c r="J46" s="15"/>
      <c r="K46" s="15"/>
      <c r="L46" s="1529"/>
      <c r="M46" s="2585"/>
      <c r="N46" s="1844"/>
      <c r="O46" s="15"/>
      <c r="P46" s="15"/>
      <c r="Q46" s="15"/>
      <c r="R46" s="1529"/>
      <c r="S46" s="2455"/>
      <c r="U46" s="20">
        <v>2</v>
      </c>
      <c r="V46" s="1282" t="s">
        <v>509</v>
      </c>
      <c r="W46" s="1482"/>
      <c r="X46" s="19" t="s">
        <v>2117</v>
      </c>
      <c r="Y46" s="1837">
        <f t="shared" si="3"/>
        <v>0</v>
      </c>
      <c r="Z46" s="1538">
        <f>Y46/Y9*Z10</f>
        <v>0</v>
      </c>
      <c r="AA46" s="18">
        <f>IF(ISBLANK(U46),"",(U46/Y9)*Z10)</f>
        <v>0.84571960166606763</v>
      </c>
      <c r="AB46" s="17" t="str">
        <f t="shared" si="0"/>
        <v>carottes</v>
      </c>
    </row>
    <row r="47" spans="1:28" ht="18.95" customHeight="1">
      <c r="A47" s="2540"/>
      <c r="B47" s="1806">
        <f>IF(ISTEXT(U47),U47,IF(ISBLANK(U47),0,(U47/Y9)*F9))</f>
        <v>0.42285980083303382</v>
      </c>
      <c r="C47" s="1541" t="str">
        <f t="shared" si="1"/>
        <v>branche</v>
      </c>
      <c r="D47" s="51">
        <f>((Y47/Y9)*F9)</f>
        <v>0</v>
      </c>
      <c r="E47" s="22" t="str">
        <f t="shared" si="2"/>
        <v>une branche de céleri</v>
      </c>
      <c r="F47" s="1540"/>
      <c r="G47" s="2585"/>
      <c r="H47" s="1844"/>
      <c r="I47" s="15"/>
      <c r="J47" s="15"/>
      <c r="K47" s="15"/>
      <c r="L47" s="1529"/>
      <c r="M47" s="2585"/>
      <c r="N47" s="1844"/>
      <c r="O47" s="15"/>
      <c r="P47" s="15"/>
      <c r="Q47" s="15"/>
      <c r="R47" s="1529"/>
      <c r="S47" s="2455"/>
      <c r="U47" s="20">
        <v>1</v>
      </c>
      <c r="V47" s="1282" t="s">
        <v>129</v>
      </c>
      <c r="W47" s="1482"/>
      <c r="X47" s="19" t="s">
        <v>2118</v>
      </c>
      <c r="Y47" s="1837">
        <f t="shared" si="3"/>
        <v>0</v>
      </c>
      <c r="Z47" s="1538">
        <f>Y47/Y9*Z10</f>
        <v>0</v>
      </c>
      <c r="AA47" s="18">
        <f>IF(ISBLANK(U47),"",(U47/Y9)*Z10)</f>
        <v>0.42285980083303382</v>
      </c>
      <c r="AB47" s="17" t="str">
        <f>V47</f>
        <v>branche</v>
      </c>
    </row>
    <row r="48" spans="1:28" ht="18.95" customHeight="1">
      <c r="A48" s="2540"/>
      <c r="B48" s="1806">
        <f>IF(ISTEXT(U48),U48,IF(ISBLANK(U48),0,(U48/Y9)*F9))</f>
        <v>0.42285980083303382</v>
      </c>
      <c r="C48" s="1541" t="str">
        <f t="shared" si="1"/>
        <v>blanc</v>
      </c>
      <c r="D48" s="51">
        <f>((Y48/Y9)*F9)</f>
        <v>0</v>
      </c>
      <c r="E48" s="22" t="str">
        <f t="shared" si="2"/>
        <v>un blanc de poireau</v>
      </c>
      <c r="F48" s="1540"/>
      <c r="G48" s="2585"/>
      <c r="H48" s="1844"/>
      <c r="I48" s="15"/>
      <c r="J48" s="15"/>
      <c r="K48" s="15"/>
      <c r="L48" s="1529"/>
      <c r="M48" s="2585"/>
      <c r="N48" s="1844"/>
      <c r="O48" s="15"/>
      <c r="P48" s="15"/>
      <c r="Q48" s="15"/>
      <c r="R48" s="1529"/>
      <c r="S48" s="2455"/>
      <c r="U48" s="20">
        <v>1</v>
      </c>
      <c r="V48" s="1282" t="s">
        <v>2119</v>
      </c>
      <c r="W48" s="1482"/>
      <c r="X48" s="19" t="s">
        <v>2120</v>
      </c>
      <c r="Y48" s="1837">
        <f t="shared" si="3"/>
        <v>0</v>
      </c>
      <c r="Z48" s="1538">
        <f>Y48/Y9*Z10</f>
        <v>0</v>
      </c>
      <c r="AA48" s="18">
        <f>IF(ISBLANK(U48),"",(U48/Y9)*Z10)</f>
        <v>0.42285980083303382</v>
      </c>
      <c r="AB48" s="17" t="str">
        <f t="shared" ref="AB48:AB53" si="4">V48</f>
        <v>blanc</v>
      </c>
    </row>
    <row r="49" spans="1:28" ht="18.95" customHeight="1">
      <c r="A49" s="2540"/>
      <c r="B49" s="1806">
        <f>IF(ISTEXT(U49),U49,IF(ISBLANK(U49),0,(U49/Y9)*F9))</f>
        <v>0.42285980083303382</v>
      </c>
      <c r="C49" s="1541" t="str">
        <f t="shared" si="1"/>
        <v>oignon</v>
      </c>
      <c r="D49" s="51">
        <f>((Y49/Y9)*F9)</f>
        <v>0</v>
      </c>
      <c r="E49" s="22" t="str">
        <f t="shared" si="2"/>
        <v xml:space="preserve"> 1 oignon</v>
      </c>
      <c r="F49" s="1540"/>
      <c r="G49" s="2585"/>
      <c r="H49" s="1844"/>
      <c r="I49" s="15"/>
      <c r="J49" s="15"/>
      <c r="K49" s="15"/>
      <c r="L49" s="1529"/>
      <c r="M49" s="2585"/>
      <c r="N49" s="1844"/>
      <c r="O49" s="15"/>
      <c r="P49" s="15"/>
      <c r="Q49" s="15"/>
      <c r="R49" s="1529"/>
      <c r="S49" s="2455"/>
      <c r="U49" s="20">
        <v>1</v>
      </c>
      <c r="V49" s="1282" t="s">
        <v>2121</v>
      </c>
      <c r="W49" s="1482"/>
      <c r="X49" s="19" t="s">
        <v>2122</v>
      </c>
      <c r="Y49" s="1837">
        <f t="shared" si="3"/>
        <v>0</v>
      </c>
      <c r="Z49" s="1538">
        <f>Y49/Y9*Z10</f>
        <v>0</v>
      </c>
      <c r="AA49" s="18">
        <f>IF(ISBLANK(U49),"",(U49/Y9)*Z10)</f>
        <v>0.42285980083303382</v>
      </c>
      <c r="AB49" s="17" t="str">
        <f t="shared" si="4"/>
        <v>oignon</v>
      </c>
    </row>
    <row r="50" spans="1:28" ht="18.95" customHeight="1">
      <c r="A50" s="2540"/>
      <c r="B50" s="1806">
        <f>IF(ISTEXT(U50),U50,IF(ISBLANK(U50),0,(U50/Y9)*F9))</f>
        <v>1.2685794024991015</v>
      </c>
      <c r="C50" s="1541" t="str">
        <f t="shared" si="1"/>
        <v>clous</v>
      </c>
      <c r="D50" s="51">
        <f>((Y50/Y9)*F9)</f>
        <v>0</v>
      </c>
      <c r="E50" s="22" t="str">
        <f t="shared" si="2"/>
        <v>3 clous de girofle</v>
      </c>
      <c r="F50" s="1540"/>
      <c r="G50" s="2585"/>
      <c r="H50" s="1844"/>
      <c r="I50" s="15"/>
      <c r="J50" s="15"/>
      <c r="K50" s="15"/>
      <c r="L50" s="1529"/>
      <c r="M50" s="2585"/>
      <c r="N50" s="1844"/>
      <c r="O50" s="15"/>
      <c r="P50" s="15"/>
      <c r="Q50" s="15"/>
      <c r="R50" s="1529"/>
      <c r="S50" s="2455"/>
      <c r="U50" s="20">
        <v>3</v>
      </c>
      <c r="V50" s="1282" t="s">
        <v>1744</v>
      </c>
      <c r="W50" s="1482"/>
      <c r="X50" s="19" t="s">
        <v>2123</v>
      </c>
      <c r="Y50" s="1837">
        <f t="shared" si="3"/>
        <v>0</v>
      </c>
      <c r="Z50" s="1538">
        <f>Y50/Y9*Z10</f>
        <v>0</v>
      </c>
      <c r="AA50" s="18">
        <f>IF(ISBLANK(U50),"",(U50/Y9)*Z10)</f>
        <v>1.2685794024991015</v>
      </c>
      <c r="AB50" s="17" t="str">
        <f t="shared" si="4"/>
        <v>clous</v>
      </c>
    </row>
    <row r="51" spans="1:28" ht="18.95" customHeight="1">
      <c r="A51" s="2540"/>
      <c r="B51" s="1806">
        <f>IF(ISTEXT(U51),U51,IF(ISBLANK(U51),0,(U51/Y9)*F9))</f>
        <v>0.42285980083303382</v>
      </c>
      <c r="C51" s="1541" t="str">
        <f t="shared" si="1"/>
        <v>feuille</v>
      </c>
      <c r="D51" s="51">
        <f>((Y51/Y9)*F9)</f>
        <v>0</v>
      </c>
      <c r="E51" s="22" t="str">
        <f t="shared" si="2"/>
        <v>une feuille de laurier</v>
      </c>
      <c r="F51" s="1540"/>
      <c r="G51" s="2585"/>
      <c r="H51" s="1844"/>
      <c r="I51" s="15"/>
      <c r="J51" s="15"/>
      <c r="K51" s="15"/>
      <c r="L51" s="1529"/>
      <c r="M51" s="2585"/>
      <c r="N51" s="1844"/>
      <c r="O51" s="15"/>
      <c r="P51" s="15"/>
      <c r="Q51" s="15"/>
      <c r="R51" s="1529"/>
      <c r="S51" s="2455"/>
      <c r="U51" s="20">
        <v>1</v>
      </c>
      <c r="V51" s="1282" t="s">
        <v>2124</v>
      </c>
      <c r="W51" s="1482"/>
      <c r="X51" s="19" t="s">
        <v>2125</v>
      </c>
      <c r="Y51" s="1837">
        <f t="shared" si="3"/>
        <v>0</v>
      </c>
      <c r="Z51" s="1538">
        <f>Y51/Y9*Z10</f>
        <v>0</v>
      </c>
      <c r="AA51" s="18">
        <f>IF(ISBLANK(U51),"",(U51/Y9)*Z10)</f>
        <v>0.42285980083303382</v>
      </c>
      <c r="AB51" s="17" t="str">
        <f t="shared" si="4"/>
        <v>feuille</v>
      </c>
    </row>
    <row r="52" spans="1:28" ht="18.95" customHeight="1">
      <c r="A52" s="2540"/>
      <c r="B52" s="1806">
        <f>IF(ISTEXT(U52),U52,IF(ISBLANK(U52),0,(U52/Y9)*F9))</f>
        <v>0.84571960166606763</v>
      </c>
      <c r="C52" s="1541" t="str">
        <f t="shared" si="1"/>
        <v>cubes</v>
      </c>
      <c r="D52" s="51">
        <f>((Y52/Y9)*F9)</f>
        <v>0</v>
      </c>
      <c r="E52" s="22" t="str">
        <f t="shared" si="2"/>
        <v xml:space="preserve"> deux bouillons de poule ou cube</v>
      </c>
      <c r="F52" s="1540"/>
      <c r="G52" s="2585"/>
      <c r="H52" s="1844"/>
      <c r="I52" s="15"/>
      <c r="J52" s="15"/>
      <c r="K52" s="15"/>
      <c r="L52" s="1529"/>
      <c r="M52" s="2585"/>
      <c r="N52" s="1844"/>
      <c r="O52" s="15"/>
      <c r="P52" s="15"/>
      <c r="Q52" s="15"/>
      <c r="R52" s="1529"/>
      <c r="S52" s="2455"/>
      <c r="U52" s="20">
        <v>2</v>
      </c>
      <c r="V52" s="1282" t="s">
        <v>2126</v>
      </c>
      <c r="W52" s="1482"/>
      <c r="X52" s="19" t="s">
        <v>2127</v>
      </c>
      <c r="Y52" s="1837">
        <f t="shared" si="3"/>
        <v>0</v>
      </c>
      <c r="Z52" s="1538">
        <f>Y52/Y9*Z10</f>
        <v>0</v>
      </c>
      <c r="AA52" s="18">
        <f>IF(ISBLANK(U52),"",(U52/Y9)*Z10)</f>
        <v>0.84571960166606763</v>
      </c>
      <c r="AB52" s="17" t="str">
        <f t="shared" si="4"/>
        <v>cubes</v>
      </c>
    </row>
    <row r="53" spans="1:28" ht="18.95" customHeight="1">
      <c r="A53" s="2540"/>
      <c r="B53" s="1806">
        <f>IF(ISTEXT(U53),U53,IF(ISBLANK(U53),0,(U53/Y9)*F9))</f>
        <v>0</v>
      </c>
      <c r="C53" s="1541">
        <f t="shared" si="1"/>
        <v>0</v>
      </c>
      <c r="D53" s="51">
        <f>((Y53/Y9)*F9)</f>
        <v>0</v>
      </c>
      <c r="E53" s="22" t="str">
        <f t="shared" si="2"/>
        <v xml:space="preserve"> sel pas trop, les bouillons le sont déjà.</v>
      </c>
      <c r="F53" s="1540"/>
      <c r="G53" s="2585"/>
      <c r="H53" s="1530">
        <v>31</v>
      </c>
      <c r="I53" s="21" t="s">
        <v>28</v>
      </c>
      <c r="J53" s="15"/>
      <c r="K53" s="15"/>
      <c r="L53" s="1529"/>
      <c r="M53" s="2585"/>
      <c r="N53" s="1844"/>
      <c r="O53" s="1892"/>
      <c r="P53" s="15"/>
      <c r="Q53" s="15"/>
      <c r="R53" s="1529"/>
      <c r="S53" s="2455"/>
      <c r="U53" s="20"/>
      <c r="V53" s="1282"/>
      <c r="W53" s="1482"/>
      <c r="X53" s="19" t="s">
        <v>2128</v>
      </c>
      <c r="Y53" s="1837">
        <f t="shared" si="3"/>
        <v>0</v>
      </c>
      <c r="Z53" s="1538">
        <f>Y53/Y9*Z10</f>
        <v>0</v>
      </c>
      <c r="AA53" s="18" t="str">
        <f>IF(ISBLANK(U53),"",(U53/Y9)*Z10)</f>
        <v/>
      </c>
      <c r="AB53" s="17">
        <f t="shared" si="4"/>
        <v>0</v>
      </c>
    </row>
    <row r="54" spans="1:28" ht="18.95" customHeight="1">
      <c r="A54" s="2540"/>
      <c r="B54" s="2561" t="s">
        <v>1731</v>
      </c>
      <c r="C54" s="2562"/>
      <c r="D54" s="2562"/>
      <c r="E54" s="2562"/>
      <c r="F54" s="2563"/>
      <c r="G54" s="2585"/>
      <c r="H54" s="1530">
        <v>32</v>
      </c>
      <c r="I54" s="16" t="s">
        <v>23</v>
      </c>
      <c r="J54" s="15"/>
      <c r="K54" s="15"/>
      <c r="L54" s="1529"/>
      <c r="M54" s="2585"/>
      <c r="N54" s="1844"/>
      <c r="O54" s="1892"/>
      <c r="P54" s="15"/>
      <c r="Q54" s="15"/>
      <c r="R54" s="1529"/>
      <c r="S54" s="2455"/>
      <c r="U54" s="1537"/>
      <c r="V54" s="13"/>
      <c r="W54" s="13"/>
      <c r="X54" s="13"/>
      <c r="Y54" s="13"/>
      <c r="Z54" s="1514"/>
      <c r="AA54" s="1513"/>
      <c r="AB54" s="1512"/>
    </row>
    <row r="55" spans="1:28" ht="18.95" customHeight="1">
      <c r="A55" s="2540"/>
      <c r="B55" s="1533"/>
      <c r="C55" s="1533" t="s">
        <v>16</v>
      </c>
      <c r="D55" s="1532" t="s">
        <v>1734</v>
      </c>
      <c r="E55" s="1532"/>
      <c r="F55" s="1531"/>
      <c r="G55" s="2585"/>
      <c r="H55" s="1530">
        <v>33</v>
      </c>
      <c r="I55" s="8" t="s">
        <v>15</v>
      </c>
      <c r="J55" s="7" t="s">
        <v>9</v>
      </c>
      <c r="K55" s="6"/>
      <c r="L55" s="1529"/>
      <c r="M55" s="2585"/>
      <c r="N55" s="1844"/>
      <c r="O55" s="1892"/>
      <c r="P55" s="15"/>
      <c r="Q55" s="15"/>
      <c r="R55" s="1529"/>
      <c r="S55" s="2455"/>
      <c r="U55" s="1528"/>
      <c r="V55" s="1527"/>
      <c r="W55" s="1526">
        <f>SUM(W22:W35,W38:W54)/1000</f>
        <v>2.3048500000000001</v>
      </c>
      <c r="X55" s="1525"/>
      <c r="Y55" s="1893">
        <f>SUM(Y10:Y54)</f>
        <v>2364.85</v>
      </c>
      <c r="Z55" s="1524">
        <f>SUM(Z11:Z54)</f>
        <v>1000.0000000000001</v>
      </c>
      <c r="AA55" s="5">
        <f>SUM(AA11:AA54)</f>
        <v>12.262934224157982</v>
      </c>
      <c r="AB55" s="4" t="s">
        <v>14</v>
      </c>
    </row>
    <row r="56" spans="1:28" ht="18.95" customHeight="1">
      <c r="A56" s="2540"/>
      <c r="B56" s="1522" t="s">
        <v>8</v>
      </c>
      <c r="C56" s="1521"/>
      <c r="D56" s="1518"/>
      <c r="E56" s="1518"/>
      <c r="F56" s="1520"/>
      <c r="G56" s="2585"/>
      <c r="H56" s="1519" t="s">
        <v>7</v>
      </c>
      <c r="I56" s="1518" t="str">
        <f ca="1">CELL("nomfichier")</f>
        <v>F:\Bureau\pour UPRT 5 decembre\[re-boudins-blancs.xlsx]CONTENU</v>
      </c>
      <c r="J56" s="1517"/>
      <c r="K56" s="1517"/>
      <c r="L56" s="1516"/>
      <c r="M56" s="2585"/>
      <c r="N56" s="1519" t="s">
        <v>7</v>
      </c>
      <c r="O56" s="1518" t="str">
        <f ca="1">CELL("nomfichier")</f>
        <v>F:\Bureau\pour UPRT 5 decembre\[re-boudins-blancs.xlsx]CONTENU</v>
      </c>
      <c r="P56" s="1517"/>
      <c r="Q56" s="1517"/>
      <c r="R56" s="1516"/>
      <c r="S56" s="1515" t="s">
        <v>1732</v>
      </c>
      <c r="U56" s="2588" t="s">
        <v>6</v>
      </c>
      <c r="V56" s="1894" t="s">
        <v>5</v>
      </c>
      <c r="W56" s="1895" t="s">
        <v>2035</v>
      </c>
      <c r="X56" s="1896"/>
      <c r="Y56" s="1897"/>
      <c r="Z56" s="1514"/>
      <c r="AA56" s="1513"/>
      <c r="AB56" s="1512"/>
    </row>
    <row r="57" spans="1:28" ht="15.75">
      <c r="U57" s="2589"/>
      <c r="V57" s="1898" t="s">
        <v>5</v>
      </c>
      <c r="W57" s="1899" t="s">
        <v>2129</v>
      </c>
      <c r="X57" s="1900"/>
      <c r="Y57" s="1901"/>
      <c r="Z57" s="1514"/>
      <c r="AA57" s="1513"/>
      <c r="AB57" s="1512"/>
    </row>
  </sheetData>
  <mergeCells count="38">
    <mergeCell ref="U56:U57"/>
    <mergeCell ref="AD18:AH19"/>
    <mergeCell ref="AD21:AH22"/>
    <mergeCell ref="AD23:AH23"/>
    <mergeCell ref="AD25:AG25"/>
    <mergeCell ref="AD26:AH26"/>
    <mergeCell ref="B54:F54"/>
    <mergeCell ref="AD5:AG5"/>
    <mergeCell ref="AD6:AG6"/>
    <mergeCell ref="AD11:AH13"/>
    <mergeCell ref="AD14:AH15"/>
    <mergeCell ref="D8:D9"/>
    <mergeCell ref="E8:E9"/>
    <mergeCell ref="Z9:AB9"/>
    <mergeCell ref="B10:C10"/>
    <mergeCell ref="E10:F10"/>
    <mergeCell ref="I10:K10"/>
    <mergeCell ref="Z10:AB10"/>
    <mergeCell ref="G6:G56"/>
    <mergeCell ref="M6:M56"/>
    <mergeCell ref="V6:Y6"/>
    <mergeCell ref="E7:F7"/>
    <mergeCell ref="B2:R2"/>
    <mergeCell ref="I13:K13"/>
    <mergeCell ref="B4:S4"/>
    <mergeCell ref="U4:AB4"/>
    <mergeCell ref="A5:A56"/>
    <mergeCell ref="B5:E5"/>
    <mergeCell ref="H5:K5"/>
    <mergeCell ref="N5:Q5"/>
    <mergeCell ref="S5:S55"/>
    <mergeCell ref="V5:X5"/>
    <mergeCell ref="Z5:AB8"/>
    <mergeCell ref="K7:L7"/>
    <mergeCell ref="Q7:R7"/>
    <mergeCell ref="X7:Y7"/>
    <mergeCell ref="I11:K11"/>
    <mergeCell ref="I12:K12"/>
  </mergeCells>
  <hyperlinks>
    <hyperlink ref="W56" r:id="rId1" display="https://latabledamelie.blogspot.fr/2008/01/boudin-blanc-maison.html"/>
    <hyperlink ref="W57" r:id="rId2"/>
    <hyperlink ref="J55" r:id="rId3"/>
  </hyperlinks>
  <printOptions horizontalCentered="1"/>
  <pageMargins left="0.23622047244094491" right="0.23622047244094491" top="0.19685039370078741" bottom="0.15748031496062992" header="0.11811023622047245" footer="0.11811023622047245"/>
  <pageSetup paperSize="9" scale="42"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203"/>
  <sheetViews>
    <sheetView showZeros="0" zoomScaleNormal="100" workbookViewId="0">
      <selection activeCell="N123" sqref="N123"/>
    </sheetView>
  </sheetViews>
  <sheetFormatPr baseColWidth="10" defaultRowHeight="15"/>
  <cols>
    <col min="1" max="1" width="2" customWidth="1"/>
    <col min="2" max="2" width="8.7109375" customWidth="1"/>
    <col min="3" max="3" width="10.7109375" customWidth="1"/>
    <col min="4" max="4" width="16.7109375" customWidth="1"/>
    <col min="5" max="5" width="7.28515625" customWidth="1"/>
    <col min="6" max="6" width="16.7109375" customWidth="1"/>
    <col min="7" max="7" width="60.7109375" customWidth="1"/>
    <col min="8" max="8" width="12.7109375" customWidth="1"/>
    <col min="9" max="9" width="2" customWidth="1"/>
    <col min="10" max="10" width="8.7109375" customWidth="1"/>
    <col min="11" max="11" width="10.7109375" customWidth="1"/>
    <col min="12" max="12" width="16.7109375" customWidth="1"/>
    <col min="13" max="13" width="7.28515625" customWidth="1"/>
    <col min="14" max="14" width="16.7109375" customWidth="1"/>
    <col min="15" max="15" width="60.7109375" customWidth="1"/>
    <col min="16" max="16" width="12.7109375" customWidth="1"/>
    <col min="17" max="17" width="2.28515625" customWidth="1"/>
    <col min="18" max="18" width="6.7109375" customWidth="1"/>
    <col min="19" max="19" width="8.7109375" customWidth="1"/>
    <col min="20" max="20" width="10.7109375" customWidth="1"/>
    <col min="21" max="21" width="16.7109375" customWidth="1"/>
    <col min="22" max="22" width="11" customWidth="1"/>
    <col min="23" max="23" width="60.7109375" customWidth="1"/>
    <col min="24" max="32" width="12.7109375" customWidth="1"/>
    <col min="33" max="33" width="20.140625" customWidth="1"/>
    <col min="34" max="48" width="12.7109375" customWidth="1"/>
    <col min="50" max="50" width="62.85546875" customWidth="1"/>
  </cols>
  <sheetData>
    <row r="1" spans="1:83" s="1340" customFormat="1" ht="18.95" customHeight="1">
      <c r="A1"/>
      <c r="B1" s="1337">
        <v>8</v>
      </c>
      <c r="C1" s="1337">
        <v>10</v>
      </c>
      <c r="D1" s="1337">
        <v>16</v>
      </c>
      <c r="E1" s="1337">
        <v>6.57</v>
      </c>
      <c r="F1" s="1337">
        <v>16</v>
      </c>
      <c r="G1" s="1337">
        <v>60</v>
      </c>
      <c r="H1" s="1337">
        <v>12</v>
      </c>
      <c r="I1" s="1337"/>
      <c r="J1" s="1337">
        <v>8</v>
      </c>
      <c r="K1" s="1337">
        <v>10</v>
      </c>
      <c r="L1" s="1337">
        <v>16</v>
      </c>
      <c r="M1" s="1337">
        <v>6.57</v>
      </c>
      <c r="N1" s="1337">
        <v>16</v>
      </c>
      <c r="O1" s="1337">
        <v>60</v>
      </c>
      <c r="P1" s="1337">
        <v>12</v>
      </c>
      <c r="Q1" s="1338">
        <v>1.57</v>
      </c>
      <c r="R1" s="1339" t="s">
        <v>740</v>
      </c>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v>6</v>
      </c>
      <c r="AZ1" s="52">
        <v>8</v>
      </c>
      <c r="BA1" s="52">
        <v>10</v>
      </c>
      <c r="BB1" s="52">
        <v>16</v>
      </c>
      <c r="BC1" s="52">
        <v>60</v>
      </c>
      <c r="BD1" s="52">
        <v>12</v>
      </c>
      <c r="BE1" s="52">
        <v>12</v>
      </c>
      <c r="BF1" s="52">
        <v>12</v>
      </c>
      <c r="BG1" s="52">
        <v>12</v>
      </c>
      <c r="BH1" s="52">
        <v>12</v>
      </c>
      <c r="BI1" s="52">
        <v>12</v>
      </c>
      <c r="BJ1" s="52">
        <v>12</v>
      </c>
      <c r="BK1" s="52">
        <v>12</v>
      </c>
      <c r="BL1" s="52">
        <v>12</v>
      </c>
      <c r="BM1" s="52"/>
      <c r="BN1" s="52"/>
      <c r="BO1" s="52"/>
      <c r="BP1" s="52"/>
      <c r="BQ1" s="52">
        <v>12</v>
      </c>
      <c r="BR1" s="52">
        <v>12</v>
      </c>
      <c r="BS1" s="52">
        <v>12</v>
      </c>
      <c r="BT1" s="52">
        <v>12</v>
      </c>
      <c r="BU1" s="52">
        <v>12</v>
      </c>
      <c r="BV1" s="52">
        <v>12</v>
      </c>
      <c r="BW1" s="52">
        <v>12</v>
      </c>
      <c r="BX1" s="52">
        <v>12</v>
      </c>
      <c r="BY1" s="52">
        <v>12</v>
      </c>
      <c r="BZ1" s="52">
        <v>12</v>
      </c>
      <c r="CA1" s="52">
        <v>12</v>
      </c>
      <c r="CB1" s="52">
        <v>12</v>
      </c>
      <c r="CC1" s="1340" t="s">
        <v>740</v>
      </c>
      <c r="CE1" s="1341" t="s">
        <v>1598</v>
      </c>
    </row>
    <row r="2" spans="1:83" ht="83.25" customHeight="1">
      <c r="B2" s="2475" t="s">
        <v>2198</v>
      </c>
      <c r="C2" s="2476"/>
      <c r="D2" s="2476"/>
      <c r="E2" s="2476"/>
      <c r="F2" s="2476"/>
      <c r="G2" s="2476"/>
      <c r="H2" s="2476"/>
      <c r="I2" s="2476"/>
      <c r="J2" s="2476"/>
      <c r="K2" s="2476"/>
      <c r="L2" s="2476"/>
      <c r="M2" s="2476"/>
      <c r="N2" s="2476"/>
      <c r="O2" s="2476"/>
      <c r="P2" s="2476"/>
      <c r="Q2" s="2476"/>
      <c r="S2" s="1342"/>
      <c r="T2" s="1342"/>
      <c r="U2" s="1342"/>
      <c r="V2" s="1342"/>
      <c r="W2" s="1342"/>
      <c r="X2" s="1342"/>
      <c r="Y2" s="1342"/>
      <c r="Z2" s="1342"/>
      <c r="AA2" s="1342"/>
      <c r="AB2" s="1342"/>
      <c r="AC2" s="1342"/>
      <c r="AD2" s="1342"/>
      <c r="AE2" s="1342"/>
      <c r="AF2" s="1342"/>
      <c r="AH2" s="1342"/>
      <c r="AI2" s="1342"/>
      <c r="AJ2" s="1342"/>
      <c r="AK2" s="1342"/>
      <c r="AL2" s="1342"/>
      <c r="AM2" s="1342"/>
      <c r="AN2" s="1342"/>
      <c r="AO2" s="1342"/>
      <c r="AP2" s="1342"/>
      <c r="AQ2" s="1342"/>
      <c r="AR2" s="1342"/>
      <c r="AS2" s="1342"/>
      <c r="AT2" s="1342"/>
      <c r="AU2" s="1342"/>
      <c r="AV2" s="1342"/>
      <c r="AX2" s="1907" t="s">
        <v>1597</v>
      </c>
      <c r="AY2" s="1908">
        <f>ROW()</f>
        <v>2</v>
      </c>
    </row>
    <row r="3" spans="1:83" ht="18.95" customHeight="1">
      <c r="A3" s="55"/>
      <c r="B3" s="1145"/>
      <c r="C3" s="1145"/>
      <c r="D3" s="1145"/>
      <c r="E3" s="1145"/>
      <c r="F3" s="1145"/>
      <c r="G3" s="1145"/>
      <c r="H3" s="1145"/>
      <c r="I3" s="1145"/>
      <c r="J3" s="1145"/>
      <c r="K3" s="1145"/>
      <c r="L3" s="1145"/>
      <c r="M3" s="1145"/>
      <c r="N3" s="1145"/>
      <c r="O3" s="1145"/>
      <c r="P3" s="1145"/>
      <c r="Q3" s="54"/>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X3" s="1909" t="s">
        <v>1597</v>
      </c>
      <c r="AY3" s="1910">
        <f>ROW()</f>
        <v>3</v>
      </c>
    </row>
    <row r="4" spans="1:83" ht="18.95" customHeight="1">
      <c r="A4" s="55"/>
      <c r="B4" s="1145"/>
      <c r="C4" s="1145"/>
      <c r="D4" s="1145"/>
      <c r="E4" s="1145"/>
      <c r="F4" s="1145"/>
      <c r="G4" s="1145"/>
      <c r="H4" s="1145"/>
      <c r="I4" s="1145"/>
      <c r="J4" s="1145"/>
      <c r="K4" s="1145"/>
      <c r="L4" s="1145"/>
      <c r="M4" s="1145"/>
      <c r="N4" s="1145"/>
      <c r="O4" s="1145"/>
      <c r="P4" s="1145"/>
      <c r="Q4" s="54"/>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X4" s="1909" t="s">
        <v>1597</v>
      </c>
      <c r="AY4" s="1910">
        <f>ROW()</f>
        <v>4</v>
      </c>
    </row>
    <row r="5" spans="1:83" ht="18.95" customHeight="1">
      <c r="A5" s="55"/>
      <c r="B5" s="1145"/>
      <c r="C5" s="1145"/>
      <c r="D5" s="1145"/>
      <c r="E5" s="1145"/>
      <c r="F5" s="1145"/>
      <c r="G5" s="1145"/>
      <c r="H5" s="1145"/>
      <c r="I5" s="1145"/>
      <c r="J5" s="1145"/>
      <c r="K5" s="1145"/>
      <c r="L5" s="1145"/>
      <c r="M5" s="1145"/>
      <c r="N5" s="1145"/>
      <c r="O5" s="1145"/>
      <c r="P5" s="1145"/>
      <c r="Q5" s="54"/>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X5" s="1909"/>
      <c r="AY5" s="1910"/>
    </row>
    <row r="6" spans="1:83" ht="18.95" customHeight="1">
      <c r="A6" s="55"/>
      <c r="B6" s="1145"/>
      <c r="C6" s="1145"/>
      <c r="D6" s="1145"/>
      <c r="E6" s="1145"/>
      <c r="F6" s="1145"/>
      <c r="G6" s="1145"/>
      <c r="H6" s="1145"/>
      <c r="I6" s="1145"/>
      <c r="J6" s="1145"/>
      <c r="K6" s="1145"/>
      <c r="L6" s="1145"/>
      <c r="M6" s="1145"/>
      <c r="N6" s="1145"/>
      <c r="O6" s="1145"/>
      <c r="P6" s="1145"/>
      <c r="Q6" s="54"/>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X6" s="1909"/>
      <c r="AY6" s="1910"/>
    </row>
    <row r="7" spans="1:83" ht="18.95" customHeight="1">
      <c r="A7" s="55"/>
      <c r="B7" s="1145"/>
      <c r="C7" s="1145"/>
      <c r="D7" s="1145"/>
      <c r="E7" s="1145"/>
      <c r="F7" s="1145"/>
      <c r="G7" s="1145"/>
      <c r="H7" s="1145"/>
      <c r="I7" s="1145"/>
      <c r="J7" s="1145"/>
      <c r="K7" s="1145"/>
      <c r="L7" s="1145"/>
      <c r="M7" s="1145"/>
      <c r="N7" s="1145"/>
      <c r="O7" s="1145"/>
      <c r="P7" s="1145"/>
      <c r="Q7" s="54"/>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X7" s="1909"/>
      <c r="AY7" s="1910"/>
    </row>
    <row r="8" spans="1:83" ht="18.95" customHeight="1">
      <c r="A8" s="55"/>
      <c r="B8" s="1145"/>
      <c r="C8" s="1145"/>
      <c r="D8" s="1145"/>
      <c r="E8" s="1145"/>
      <c r="F8" s="1145"/>
      <c r="G8" s="1145"/>
      <c r="H8" s="1145"/>
      <c r="I8" s="1145"/>
      <c r="J8" s="1145"/>
      <c r="K8" s="1145"/>
      <c r="L8" s="1145"/>
      <c r="M8" s="1145"/>
      <c r="N8" s="1145"/>
      <c r="O8" s="1145"/>
      <c r="P8" s="1145"/>
      <c r="Q8" s="54"/>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X8" s="1909"/>
      <c r="AY8" s="1910"/>
    </row>
    <row r="9" spans="1:83" ht="18.95" customHeight="1">
      <c r="A9" s="55"/>
      <c r="B9" s="1145"/>
      <c r="C9" s="1145"/>
      <c r="D9" s="1145"/>
      <c r="E9" s="1145"/>
      <c r="F9" s="1145"/>
      <c r="G9" s="1145"/>
      <c r="H9" s="1145"/>
      <c r="I9" s="1145"/>
      <c r="J9" s="1145"/>
      <c r="K9" s="1145"/>
      <c r="L9" s="1145"/>
      <c r="M9" s="1145"/>
      <c r="N9" s="1145"/>
      <c r="O9" s="1145"/>
      <c r="P9" s="1145"/>
      <c r="Q9" s="54"/>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X9" s="1909"/>
      <c r="AY9" s="1910"/>
    </row>
    <row r="10" spans="1:83" ht="18.95" customHeight="1">
      <c r="A10" s="55"/>
      <c r="B10" s="1145"/>
      <c r="C10" s="1145"/>
      <c r="D10" s="1145"/>
      <c r="E10" s="1145"/>
      <c r="F10" s="1145"/>
      <c r="G10" s="1145"/>
      <c r="H10" s="1145"/>
      <c r="I10" s="1145"/>
      <c r="J10" s="1145"/>
      <c r="K10" s="1145"/>
      <c r="L10" s="1145"/>
      <c r="M10" s="1145"/>
      <c r="N10" s="1145"/>
      <c r="O10" s="1145"/>
      <c r="P10" s="1145"/>
      <c r="Q10" s="54"/>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X10" s="1909"/>
      <c r="AY10" s="1910"/>
    </row>
    <row r="11" spans="1:83" ht="18.95" customHeight="1">
      <c r="A11" s="55"/>
      <c r="B11" s="1145"/>
      <c r="C11" s="1145"/>
      <c r="D11" s="1145"/>
      <c r="E11" s="1145"/>
      <c r="F11" s="1145"/>
      <c r="G11" s="1145"/>
      <c r="H11" s="1145"/>
      <c r="I11" s="1145"/>
      <c r="J11" s="1145"/>
      <c r="K11" s="1145"/>
      <c r="L11" s="1145"/>
      <c r="M11" s="1145"/>
      <c r="N11" s="1145"/>
      <c r="O11" s="1145"/>
      <c r="P11" s="1145"/>
      <c r="Q11" s="54"/>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X11" s="1909"/>
      <c r="AY11" s="1910"/>
    </row>
    <row r="12" spans="1:83" ht="18.95" customHeight="1">
      <c r="A12" s="55"/>
      <c r="B12" s="1145"/>
      <c r="C12" s="1145"/>
      <c r="D12" s="1145"/>
      <c r="E12" s="1145"/>
      <c r="F12" s="1145"/>
      <c r="G12" s="1145"/>
      <c r="H12" s="1145"/>
      <c r="I12" s="1145"/>
      <c r="J12" s="1145"/>
      <c r="K12" s="1145"/>
      <c r="L12" s="1145"/>
      <c r="M12" s="1145"/>
      <c r="N12" s="1145"/>
      <c r="O12" s="1145"/>
      <c r="P12" s="1145"/>
      <c r="Q12" s="54"/>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X12" s="1909"/>
      <c r="AY12" s="1910"/>
    </row>
    <row r="13" spans="1:83" ht="18.95" customHeight="1">
      <c r="A13" s="55"/>
      <c r="B13" s="1145"/>
      <c r="C13" s="1145"/>
      <c r="D13" s="1145"/>
      <c r="E13" s="1145"/>
      <c r="F13" s="1145"/>
      <c r="G13" s="1145"/>
      <c r="H13" s="1145"/>
      <c r="I13" s="1145"/>
      <c r="J13" s="1145"/>
      <c r="K13" s="1145"/>
      <c r="L13" s="1145"/>
      <c r="M13" s="1145"/>
      <c r="N13" s="1145"/>
      <c r="O13" s="1145"/>
      <c r="P13" s="1145"/>
      <c r="Q13" s="54"/>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X13" s="1909"/>
      <c r="AY13" s="1910"/>
    </row>
    <row r="14" spans="1:83" ht="18.95" customHeight="1">
      <c r="A14" s="55"/>
      <c r="B14" s="1145"/>
      <c r="C14" s="1145"/>
      <c r="D14" s="1145"/>
      <c r="E14" s="1145"/>
      <c r="F14" s="1145"/>
      <c r="G14" s="1145"/>
      <c r="H14" s="1145"/>
      <c r="I14" s="1145"/>
      <c r="J14" s="1145"/>
      <c r="K14" s="1145"/>
      <c r="L14" s="1145"/>
      <c r="M14" s="1145"/>
      <c r="N14" s="1145"/>
      <c r="O14" s="1145"/>
      <c r="P14" s="1145"/>
      <c r="Q14" s="54"/>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X14" s="1909"/>
      <c r="AY14" s="1910"/>
    </row>
    <row r="15" spans="1:83" ht="18.95" customHeight="1">
      <c r="A15" s="55"/>
      <c r="B15" s="1145"/>
      <c r="C15" s="1145"/>
      <c r="D15" s="1145"/>
      <c r="E15" s="1145"/>
      <c r="F15" s="1145"/>
      <c r="G15" s="1145"/>
      <c r="H15" s="1145"/>
      <c r="I15" s="1145"/>
      <c r="J15" s="1145"/>
      <c r="K15" s="1145"/>
      <c r="L15" s="1145"/>
      <c r="M15" s="1145"/>
      <c r="N15" s="1145"/>
      <c r="O15" s="1145"/>
      <c r="P15" s="1145"/>
      <c r="Q15" s="54"/>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X15" s="1909"/>
      <c r="AY15" s="1910"/>
    </row>
    <row r="16" spans="1:83" ht="18.95" customHeight="1">
      <c r="A16" s="55"/>
      <c r="B16" s="1145"/>
      <c r="C16" s="1145"/>
      <c r="D16" s="1145"/>
      <c r="E16" s="1145"/>
      <c r="F16" s="1145"/>
      <c r="G16" s="1145"/>
      <c r="H16" s="1145"/>
      <c r="I16" s="1145"/>
      <c r="J16" s="1145"/>
      <c r="K16" s="1145"/>
      <c r="L16" s="1145"/>
      <c r="M16" s="1145"/>
      <c r="N16" s="1145"/>
      <c r="O16" s="1145"/>
      <c r="P16" s="1145"/>
      <c r="Q16" s="54"/>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X16" s="1909"/>
      <c r="AY16" s="1910"/>
    </row>
    <row r="17" spans="1:51" ht="18.95" customHeight="1">
      <c r="A17" s="55"/>
      <c r="B17" s="1145"/>
      <c r="C17" s="1145"/>
      <c r="D17" s="1145"/>
      <c r="E17" s="1145"/>
      <c r="F17" s="1145"/>
      <c r="G17" s="1145"/>
      <c r="H17" s="1145"/>
      <c r="I17" s="1145"/>
      <c r="J17" s="1145"/>
      <c r="K17" s="1145"/>
      <c r="L17" s="1145"/>
      <c r="M17" s="1145"/>
      <c r="N17" s="1145"/>
      <c r="O17" s="1145"/>
      <c r="P17" s="1145"/>
      <c r="Q17" s="54"/>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X17" s="1909"/>
      <c r="AY17" s="1910"/>
    </row>
    <row r="18" spans="1:51" ht="18.95" customHeight="1">
      <c r="A18" s="55"/>
      <c r="B18" s="1145"/>
      <c r="C18" s="1145"/>
      <c r="D18" s="1145"/>
      <c r="E18" s="1145"/>
      <c r="F18" s="1145"/>
      <c r="G18" s="1145"/>
      <c r="H18" s="1145"/>
      <c r="I18" s="1145"/>
      <c r="J18" s="1145"/>
      <c r="K18" s="1145"/>
      <c r="L18" s="1145"/>
      <c r="M18" s="1145"/>
      <c r="N18" s="1145"/>
      <c r="O18" s="1145"/>
      <c r="P18" s="1145"/>
      <c r="Q18" s="54"/>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X18" s="1909"/>
      <c r="AY18" s="1910"/>
    </row>
    <row r="19" spans="1:51" ht="18.95" customHeight="1">
      <c r="A19" s="55"/>
      <c r="B19" s="1145"/>
      <c r="C19" s="1145"/>
      <c r="D19" s="1145"/>
      <c r="E19" s="1145"/>
      <c r="F19" s="1145"/>
      <c r="G19" s="1145"/>
      <c r="H19" s="1145"/>
      <c r="I19" s="1145"/>
      <c r="J19" s="1145"/>
      <c r="K19" s="1145"/>
      <c r="L19" s="1145"/>
      <c r="M19" s="1145"/>
      <c r="N19" s="1145"/>
      <c r="O19" s="1145"/>
      <c r="P19" s="1145"/>
      <c r="Q19" s="54"/>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X19" s="1909"/>
      <c r="AY19" s="1910"/>
    </row>
    <row r="20" spans="1:51" ht="18.95" customHeight="1">
      <c r="A20" s="55"/>
      <c r="B20" s="1145"/>
      <c r="C20" s="1145"/>
      <c r="D20" s="1145"/>
      <c r="E20" s="1145"/>
      <c r="F20" s="1145"/>
      <c r="G20" s="1145"/>
      <c r="H20" s="1145"/>
      <c r="I20" s="1145"/>
      <c r="J20" s="1145"/>
      <c r="K20" s="1145"/>
      <c r="L20" s="1145"/>
      <c r="M20" s="1145"/>
      <c r="N20" s="1145"/>
      <c r="O20" s="1145"/>
      <c r="P20" s="1145"/>
      <c r="Q20" s="54"/>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X20" s="1909"/>
      <c r="AY20" s="1910"/>
    </row>
    <row r="21" spans="1:51" ht="18.95" customHeight="1">
      <c r="A21" s="55"/>
      <c r="B21" s="1145"/>
      <c r="C21" s="1145"/>
      <c r="D21" s="1145"/>
      <c r="E21" s="1145"/>
      <c r="F21" s="1145"/>
      <c r="G21" s="1145"/>
      <c r="H21" s="1145"/>
      <c r="I21" s="1145"/>
      <c r="J21" s="1145"/>
      <c r="K21" s="1145"/>
      <c r="L21" s="1145"/>
      <c r="M21" s="1145"/>
      <c r="N21" s="1145"/>
      <c r="O21" s="1145"/>
      <c r="P21" s="1145"/>
      <c r="Q21" s="54"/>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X21" s="1909"/>
      <c r="AY21" s="1910"/>
    </row>
    <row r="22" spans="1:51" ht="18.95" customHeight="1">
      <c r="A22" s="55"/>
      <c r="B22" s="1145"/>
      <c r="C22" s="1145"/>
      <c r="D22" s="1145"/>
      <c r="E22" s="1145"/>
      <c r="F22" s="1145"/>
      <c r="G22" s="1145"/>
      <c r="H22" s="1145"/>
      <c r="I22" s="1145"/>
      <c r="J22" s="1145"/>
      <c r="K22" s="1145"/>
      <c r="L22" s="1145"/>
      <c r="M22" s="1145"/>
      <c r="N22" s="1145"/>
      <c r="O22" s="1145"/>
      <c r="P22" s="1145"/>
      <c r="Q22" s="54"/>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X22" s="1909"/>
      <c r="AY22" s="1910"/>
    </row>
    <row r="23" spans="1:51" ht="18.95" customHeight="1">
      <c r="A23" s="55"/>
      <c r="B23" s="1145"/>
      <c r="C23" s="1145"/>
      <c r="D23" s="1145"/>
      <c r="E23" s="1145"/>
      <c r="F23" s="1145"/>
      <c r="G23" s="1145"/>
      <c r="H23" s="1145"/>
      <c r="I23" s="1145"/>
      <c r="J23" s="1145"/>
      <c r="K23" s="1145"/>
      <c r="L23" s="1145"/>
      <c r="M23" s="1145"/>
      <c r="N23" s="1145"/>
      <c r="O23" s="1145"/>
      <c r="P23" s="1145"/>
      <c r="Q23" s="54"/>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X23" s="1909"/>
      <c r="AY23" s="1910"/>
    </row>
    <row r="24" spans="1:51" ht="18.95" customHeight="1">
      <c r="A24" s="55"/>
      <c r="B24" s="1145"/>
      <c r="C24" s="1145"/>
      <c r="D24" s="1145"/>
      <c r="E24" s="1145"/>
      <c r="F24" s="1145"/>
      <c r="G24" s="1145"/>
      <c r="H24" s="1145"/>
      <c r="I24" s="1145"/>
      <c r="J24" s="1145"/>
      <c r="K24" s="1145"/>
      <c r="L24" s="1145"/>
      <c r="M24" s="1145"/>
      <c r="N24" s="1145"/>
      <c r="O24" s="1145"/>
      <c r="P24" s="1145"/>
      <c r="Q24" s="54"/>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X24" s="1909"/>
      <c r="AY24" s="1910"/>
    </row>
    <row r="25" spans="1:51" ht="18.95" customHeight="1">
      <c r="A25" s="55"/>
      <c r="B25" s="1145"/>
      <c r="C25" s="1145"/>
      <c r="D25" s="1145"/>
      <c r="E25" s="1145"/>
      <c r="F25" s="1145"/>
      <c r="G25" s="1145"/>
      <c r="H25" s="1145"/>
      <c r="I25" s="1145"/>
      <c r="J25" s="1145"/>
      <c r="K25" s="1145"/>
      <c r="L25" s="1145"/>
      <c r="M25" s="1145"/>
      <c r="N25" s="1145"/>
      <c r="O25" s="1145"/>
      <c r="P25" s="1145"/>
      <c r="Q25" s="54"/>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X25" s="1909"/>
      <c r="AY25" s="1910"/>
    </row>
    <row r="26" spans="1:51" ht="18.95" customHeight="1">
      <c r="A26" s="55"/>
      <c r="B26" s="1145"/>
      <c r="C26" s="1145"/>
      <c r="D26" s="1145"/>
      <c r="E26" s="1145"/>
      <c r="F26" s="1145"/>
      <c r="G26" s="1145"/>
      <c r="H26" s="1145"/>
      <c r="I26" s="1145"/>
      <c r="J26" s="1145"/>
      <c r="K26" s="1145"/>
      <c r="L26" s="1145"/>
      <c r="M26" s="1145"/>
      <c r="N26" s="1145"/>
      <c r="O26" s="1145"/>
      <c r="P26" s="1145"/>
      <c r="Q26" s="54"/>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X26" s="1909"/>
      <c r="AY26" s="1910"/>
    </row>
    <row r="27" spans="1:51" ht="18.95" customHeight="1">
      <c r="A27" s="55"/>
      <c r="B27" s="1145"/>
      <c r="C27" s="1145"/>
      <c r="D27" s="1145"/>
      <c r="E27" s="1145"/>
      <c r="F27" s="1145"/>
      <c r="G27" s="1145"/>
      <c r="H27" s="1145"/>
      <c r="I27" s="1145"/>
      <c r="J27" s="1145"/>
      <c r="K27" s="1145"/>
      <c r="L27" s="1145"/>
      <c r="M27" s="1145"/>
      <c r="N27" s="1145"/>
      <c r="O27" s="1145"/>
      <c r="P27" s="1145"/>
      <c r="Q27" s="54"/>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X27" s="1909"/>
      <c r="AY27" s="1910"/>
    </row>
    <row r="28" spans="1:51" ht="18.95" customHeight="1">
      <c r="A28" s="55"/>
      <c r="B28" s="1145"/>
      <c r="C28" s="1145"/>
      <c r="D28" s="1145"/>
      <c r="E28" s="1145"/>
      <c r="F28" s="1145"/>
      <c r="G28" s="1145"/>
      <c r="H28" s="1145"/>
      <c r="I28" s="1145"/>
      <c r="J28" s="1145"/>
      <c r="K28" s="1145"/>
      <c r="L28" s="1145"/>
      <c r="M28" s="1145"/>
      <c r="N28" s="1145"/>
      <c r="O28" s="1145"/>
      <c r="P28" s="1145"/>
      <c r="Q28" s="54"/>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X28" s="1909"/>
      <c r="AY28" s="1910"/>
    </row>
    <row r="29" spans="1:51" ht="18.95" customHeight="1">
      <c r="A29" s="55"/>
      <c r="B29" s="1145"/>
      <c r="C29" s="1145"/>
      <c r="D29" s="1145"/>
      <c r="E29" s="1145"/>
      <c r="F29" s="1145"/>
      <c r="G29" s="1145"/>
      <c r="H29" s="1145"/>
      <c r="I29" s="1145"/>
      <c r="J29" s="1145"/>
      <c r="K29" s="1145"/>
      <c r="L29" s="1145"/>
      <c r="M29" s="1145"/>
      <c r="N29" s="1145"/>
      <c r="O29" s="1145"/>
      <c r="P29" s="1145"/>
      <c r="Q29" s="54"/>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X29" s="1909"/>
      <c r="AY29" s="1910"/>
    </row>
    <row r="30" spans="1:51" ht="18.95" customHeight="1">
      <c r="A30" s="55"/>
      <c r="B30" s="1145"/>
      <c r="C30" s="1145"/>
      <c r="D30" s="1145"/>
      <c r="E30" s="1145"/>
      <c r="F30" s="1145"/>
      <c r="G30" s="1145"/>
      <c r="H30" s="1145"/>
      <c r="I30" s="1145"/>
      <c r="J30" s="1145"/>
      <c r="K30" s="1145"/>
      <c r="L30" s="1145"/>
      <c r="M30" s="1145"/>
      <c r="N30" s="1145"/>
      <c r="O30" s="1145"/>
      <c r="P30" s="1145"/>
      <c r="Q30" s="54"/>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X30" s="1909"/>
      <c r="AY30" s="1910"/>
    </row>
    <row r="31" spans="1:51" ht="18.95" customHeight="1">
      <c r="A31" s="55"/>
      <c r="B31" s="1145"/>
      <c r="C31" s="1145"/>
      <c r="D31" s="1145"/>
      <c r="E31" s="1145"/>
      <c r="F31" s="1145"/>
      <c r="G31" s="1145"/>
      <c r="H31" s="1145"/>
      <c r="I31" s="1145"/>
      <c r="J31" s="1145"/>
      <c r="K31" s="1145"/>
      <c r="L31" s="1145"/>
      <c r="M31" s="1145"/>
      <c r="N31" s="1145"/>
      <c r="O31" s="1145"/>
      <c r="P31" s="1145"/>
      <c r="Q31" s="54"/>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X31" s="1909"/>
      <c r="AY31" s="1910"/>
    </row>
    <row r="32" spans="1:51" ht="18.95" customHeight="1">
      <c r="A32" s="55"/>
      <c r="B32" s="1145"/>
      <c r="C32" s="1145"/>
      <c r="D32" s="1145"/>
      <c r="E32" s="1145"/>
      <c r="F32" s="1145"/>
      <c r="G32" s="1145"/>
      <c r="H32" s="1145"/>
      <c r="I32" s="1145"/>
      <c r="J32" s="1145"/>
      <c r="K32" s="1145"/>
      <c r="L32" s="1145"/>
      <c r="M32" s="1145"/>
      <c r="N32" s="1145"/>
      <c r="O32" s="1145"/>
      <c r="P32" s="1145"/>
      <c r="Q32" s="54"/>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X32" s="1909"/>
      <c r="AY32" s="1910"/>
    </row>
    <row r="33" spans="1:51" ht="18.95" customHeight="1">
      <c r="A33" s="55"/>
      <c r="B33" s="1145"/>
      <c r="C33" s="1145"/>
      <c r="D33" s="1145"/>
      <c r="E33" s="1145"/>
      <c r="F33" s="1145"/>
      <c r="G33" s="1145"/>
      <c r="H33" s="1145"/>
      <c r="I33" s="1145"/>
      <c r="J33" s="1145"/>
      <c r="K33" s="1145"/>
      <c r="L33" s="1145"/>
      <c r="M33" s="1145"/>
      <c r="N33" s="1145"/>
      <c r="O33" s="1145"/>
      <c r="P33" s="1145"/>
      <c r="Q33" s="54"/>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X33" s="1909"/>
      <c r="AY33" s="1910"/>
    </row>
    <row r="34" spans="1:51" ht="18.95" customHeight="1">
      <c r="A34" s="55"/>
      <c r="B34" s="1145"/>
      <c r="C34" s="1145"/>
      <c r="D34" s="1145"/>
      <c r="E34" s="1145"/>
      <c r="F34" s="1145"/>
      <c r="G34" s="1145"/>
      <c r="H34" s="1145"/>
      <c r="I34" s="1145"/>
      <c r="J34" s="1145"/>
      <c r="K34" s="1145"/>
      <c r="L34" s="1145"/>
      <c r="M34" s="1145"/>
      <c r="N34" s="1145"/>
      <c r="O34" s="1145"/>
      <c r="P34" s="1145"/>
      <c r="Q34" s="54"/>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X34" s="1909"/>
      <c r="AY34" s="1910"/>
    </row>
    <row r="35" spans="1:51" ht="18.95" customHeight="1">
      <c r="A35" s="55"/>
      <c r="B35" s="1145"/>
      <c r="C35" s="1145"/>
      <c r="D35" s="1145"/>
      <c r="E35" s="1145"/>
      <c r="F35" s="1145"/>
      <c r="G35" s="1145"/>
      <c r="H35" s="1145"/>
      <c r="I35" s="1145"/>
      <c r="J35" s="1145"/>
      <c r="K35" s="1145"/>
      <c r="L35" s="1145"/>
      <c r="M35" s="1145"/>
      <c r="N35" s="1145"/>
      <c r="O35" s="1145"/>
      <c r="P35" s="1145"/>
      <c r="Q35" s="54"/>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X35" s="1909"/>
      <c r="AY35" s="1910"/>
    </row>
    <row r="36" spans="1:51" ht="18.95" customHeight="1">
      <c r="A36" s="55"/>
      <c r="B36" s="1145"/>
      <c r="C36" s="1145"/>
      <c r="D36" s="1145"/>
      <c r="E36" s="1145"/>
      <c r="F36" s="1145"/>
      <c r="G36" s="1145"/>
      <c r="H36" s="1145"/>
      <c r="I36" s="1145"/>
      <c r="J36" s="1145"/>
      <c r="K36" s="1145"/>
      <c r="L36" s="1145"/>
      <c r="M36" s="1145"/>
      <c r="N36" s="1145"/>
      <c r="O36" s="1145"/>
      <c r="P36" s="1145"/>
      <c r="Q36" s="54"/>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X36" s="1909"/>
      <c r="AY36" s="1910"/>
    </row>
    <row r="37" spans="1:51" ht="18.95" customHeight="1">
      <c r="A37" s="55"/>
      <c r="B37" s="1145"/>
      <c r="C37" s="1145"/>
      <c r="D37" s="1145"/>
      <c r="E37" s="1145"/>
      <c r="F37" s="1145"/>
      <c r="G37" s="1145"/>
      <c r="H37" s="1145"/>
      <c r="I37" s="1145"/>
      <c r="J37" s="1145"/>
      <c r="K37" s="1145"/>
      <c r="L37" s="1145"/>
      <c r="M37" s="1145"/>
      <c r="N37" s="1145"/>
      <c r="O37" s="1145"/>
      <c r="P37" s="1145"/>
      <c r="Q37" s="54"/>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X37" s="1909"/>
      <c r="AY37" s="1910"/>
    </row>
    <row r="38" spans="1:51" ht="18.95" customHeight="1">
      <c r="A38" s="55"/>
      <c r="B38" s="1145"/>
      <c r="C38" s="1145"/>
      <c r="D38" s="1145"/>
      <c r="E38" s="1145"/>
      <c r="F38" s="1145"/>
      <c r="G38" s="1145"/>
      <c r="H38" s="1145"/>
      <c r="I38" s="1145"/>
      <c r="J38" s="1145"/>
      <c r="K38" s="1145"/>
      <c r="L38" s="1145"/>
      <c r="M38" s="1145"/>
      <c r="N38" s="1145"/>
      <c r="O38" s="1145"/>
      <c r="P38" s="1145"/>
      <c r="Q38" s="54"/>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X38" s="1909"/>
      <c r="AY38" s="1910"/>
    </row>
    <row r="39" spans="1:51" ht="18.95" customHeight="1">
      <c r="A39" s="55"/>
      <c r="B39" s="1145"/>
      <c r="C39" s="1145"/>
      <c r="D39" s="1145"/>
      <c r="E39" s="1145"/>
      <c r="F39" s="1145"/>
      <c r="G39" s="1145"/>
      <c r="H39" s="1145"/>
      <c r="I39" s="1145"/>
      <c r="J39" s="1145"/>
      <c r="K39" s="1145"/>
      <c r="L39" s="1145"/>
      <c r="M39" s="1145"/>
      <c r="N39" s="1145"/>
      <c r="O39" s="1145"/>
      <c r="P39" s="1145"/>
      <c r="Q39" s="54"/>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X39" s="1909"/>
      <c r="AY39" s="1910"/>
    </row>
    <row r="40" spans="1:51" ht="18.95" customHeight="1">
      <c r="A40" s="55"/>
      <c r="B40" s="1145"/>
      <c r="C40" s="1145"/>
      <c r="D40" s="1145"/>
      <c r="E40" s="1145"/>
      <c r="F40" s="1145"/>
      <c r="G40" s="1145"/>
      <c r="H40" s="1145"/>
      <c r="I40" s="1145"/>
      <c r="J40" s="1145"/>
      <c r="K40" s="1145"/>
      <c r="L40" s="1145"/>
      <c r="M40" s="1145"/>
      <c r="N40" s="1145"/>
      <c r="O40" s="1145"/>
      <c r="P40" s="1145"/>
      <c r="Q40" s="54"/>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X40" s="1909"/>
      <c r="AY40" s="1910"/>
    </row>
    <row r="41" spans="1:51" ht="18.95" customHeight="1">
      <c r="A41" s="55"/>
      <c r="B41" s="1145"/>
      <c r="C41" s="1145"/>
      <c r="D41" s="1145"/>
      <c r="E41" s="1145"/>
      <c r="F41" s="1145"/>
      <c r="G41" s="1145"/>
      <c r="H41" s="1145"/>
      <c r="I41" s="1145"/>
      <c r="J41" s="1145"/>
      <c r="K41" s="1145"/>
      <c r="L41" s="1145"/>
      <c r="M41" s="1145"/>
      <c r="N41" s="1145"/>
      <c r="O41" s="1145"/>
      <c r="P41" s="1145"/>
      <c r="Q41" s="54"/>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X41" s="1909"/>
      <c r="AY41" s="1910"/>
    </row>
    <row r="42" spans="1:51" ht="18.95" customHeight="1">
      <c r="A42" s="55"/>
      <c r="B42" s="1145"/>
      <c r="C42" s="1145"/>
      <c r="D42" s="1145"/>
      <c r="E42" s="1145"/>
      <c r="F42" s="1145"/>
      <c r="G42" s="1145"/>
      <c r="H42" s="1145"/>
      <c r="I42" s="1145"/>
      <c r="J42" s="1145"/>
      <c r="K42" s="1145"/>
      <c r="L42" s="1145"/>
      <c r="M42" s="1145"/>
      <c r="N42" s="1145"/>
      <c r="O42" s="1145"/>
      <c r="P42" s="1145"/>
      <c r="Q42" s="54"/>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X42" s="1909"/>
      <c r="AY42" s="1910"/>
    </row>
    <row r="43" spans="1:51" ht="18.95" customHeight="1">
      <c r="A43" s="55"/>
      <c r="B43" s="1145"/>
      <c r="C43" s="1145"/>
      <c r="D43" s="1145"/>
      <c r="E43" s="1145"/>
      <c r="F43" s="1145"/>
      <c r="G43" s="1145"/>
      <c r="H43" s="1145"/>
      <c r="I43" s="1145"/>
      <c r="J43" s="1145"/>
      <c r="K43" s="1145"/>
      <c r="L43" s="1145"/>
      <c r="M43" s="1145"/>
      <c r="N43" s="1145"/>
      <c r="O43" s="1145"/>
      <c r="P43" s="1145"/>
      <c r="Q43" s="54"/>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X43" s="1909"/>
      <c r="AY43" s="1910"/>
    </row>
    <row r="44" spans="1:51" ht="18.95" customHeight="1">
      <c r="A44" s="55"/>
      <c r="B44" s="1145"/>
      <c r="C44" s="1145"/>
      <c r="D44" s="1145"/>
      <c r="E44" s="1145"/>
      <c r="F44" s="1145"/>
      <c r="G44" s="1145"/>
      <c r="H44" s="1145"/>
      <c r="I44" s="1145"/>
      <c r="J44" s="1145"/>
      <c r="K44" s="1145"/>
      <c r="L44" s="1145"/>
      <c r="M44" s="1145"/>
      <c r="N44" s="1145"/>
      <c r="O44" s="1145"/>
      <c r="P44" s="1145"/>
      <c r="Q44" s="54"/>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X44" s="1909"/>
      <c r="AY44" s="1910"/>
    </row>
    <row r="45" spans="1:51" ht="18.95" customHeight="1">
      <c r="A45" s="55"/>
      <c r="B45" s="1390" t="s">
        <v>1571</v>
      </c>
      <c r="C45" s="2604" t="s">
        <v>2130</v>
      </c>
      <c r="D45" s="2605"/>
      <c r="E45" s="2605"/>
      <c r="F45" s="2605"/>
      <c r="G45" s="2605"/>
      <c r="H45" s="2605"/>
      <c r="I45" s="1145"/>
      <c r="J45" s="1145"/>
      <c r="K45" s="1145"/>
      <c r="L45" s="1145"/>
      <c r="M45" s="1145"/>
      <c r="N45" s="1145"/>
      <c r="O45" s="1145"/>
      <c r="P45" s="1145"/>
      <c r="Q45" s="54"/>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X45" s="1909"/>
      <c r="AY45" s="1910"/>
    </row>
    <row r="46" spans="1:51" ht="18.95" customHeight="1">
      <c r="A46" s="55"/>
      <c r="B46" s="1145"/>
      <c r="C46" s="1145"/>
      <c r="D46" s="1145"/>
      <c r="E46" s="1145"/>
      <c r="F46" s="1145"/>
      <c r="G46" s="1145"/>
      <c r="H46" s="1145"/>
      <c r="I46" s="1145"/>
      <c r="J46" s="1145"/>
      <c r="K46" s="1145"/>
      <c r="L46" s="1145"/>
      <c r="M46" s="1145"/>
      <c r="N46" s="1145"/>
      <c r="O46" s="1145"/>
      <c r="P46" s="1145"/>
      <c r="Q46" s="54"/>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X46" s="1909"/>
      <c r="AY46" s="1910"/>
    </row>
    <row r="47" spans="1:51" ht="18.95" customHeight="1">
      <c r="A47" s="55"/>
      <c r="B47" s="1390" t="s">
        <v>1571</v>
      </c>
      <c r="C47" s="2604" t="s">
        <v>2199</v>
      </c>
      <c r="D47" s="2606"/>
      <c r="E47" s="2606"/>
      <c r="F47" s="2606"/>
      <c r="G47" s="2606"/>
      <c r="H47" s="2606"/>
      <c r="I47" s="1145"/>
      <c r="J47" s="1145"/>
      <c r="K47" s="1145"/>
      <c r="L47" s="1145"/>
      <c r="M47" s="1145"/>
      <c r="N47" s="1145"/>
      <c r="O47" s="1145"/>
      <c r="P47" s="1145"/>
      <c r="Q47" s="54"/>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X47" s="1909"/>
      <c r="AY47" s="1910"/>
    </row>
    <row r="48" spans="1:51" ht="18.95" customHeight="1">
      <c r="A48" s="55"/>
      <c r="B48" s="1145"/>
      <c r="C48" s="1145"/>
      <c r="D48" s="1145"/>
      <c r="E48" s="1145"/>
      <c r="F48" s="1145"/>
      <c r="G48" s="1145"/>
      <c r="H48" s="1145"/>
      <c r="I48" s="1145"/>
      <c r="J48" s="1145"/>
      <c r="K48" s="1145"/>
      <c r="L48" s="1145"/>
      <c r="M48" s="1145"/>
      <c r="N48" s="1145"/>
      <c r="O48" s="1145"/>
      <c r="P48" s="1145"/>
      <c r="Q48" s="54"/>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X48" s="1909"/>
      <c r="AY48" s="1910"/>
    </row>
    <row r="49" spans="1:51" ht="18.95" customHeight="1">
      <c r="A49" s="55"/>
      <c r="B49" s="1390" t="s">
        <v>1571</v>
      </c>
      <c r="C49" s="2604" t="s">
        <v>2200</v>
      </c>
      <c r="D49" s="2606"/>
      <c r="E49" s="2606"/>
      <c r="F49" s="2606"/>
      <c r="G49" s="2606"/>
      <c r="H49" s="2606"/>
      <c r="I49" s="1145"/>
      <c r="J49" s="1145"/>
      <c r="K49" s="1145"/>
      <c r="L49" s="1145"/>
      <c r="M49" s="1145"/>
      <c r="N49" s="1145"/>
      <c r="O49" s="1145"/>
      <c r="P49" s="1145"/>
      <c r="Q49" s="54"/>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X49" s="1909"/>
      <c r="AY49" s="1910"/>
    </row>
    <row r="50" spans="1:51" ht="18.95" customHeight="1">
      <c r="A50" s="55"/>
      <c r="B50" s="1145"/>
      <c r="C50" s="1145"/>
      <c r="D50" s="1145"/>
      <c r="E50" s="1145"/>
      <c r="F50" s="1145"/>
      <c r="G50" s="1145"/>
      <c r="H50" s="1145"/>
      <c r="I50" s="1145"/>
      <c r="J50" s="1145"/>
      <c r="K50" s="1145"/>
      <c r="L50" s="1145"/>
      <c r="M50" s="1145"/>
      <c r="N50" s="1145"/>
      <c r="O50" s="1145"/>
      <c r="P50" s="1145"/>
      <c r="Q50" s="54"/>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X50" s="1909"/>
      <c r="AY50" s="1910"/>
    </row>
    <row r="51" spans="1:51" ht="18.95" customHeight="1">
      <c r="A51" s="55"/>
      <c r="B51" s="1390" t="s">
        <v>1571</v>
      </c>
      <c r="C51" s="2604" t="s">
        <v>2201</v>
      </c>
      <c r="D51" s="2606"/>
      <c r="E51" s="2606"/>
      <c r="F51" s="2606"/>
      <c r="G51" s="2606"/>
      <c r="H51" s="2606"/>
      <c r="I51" s="1145"/>
      <c r="J51" s="1145"/>
      <c r="K51" s="1145"/>
      <c r="L51" s="1145"/>
      <c r="M51" s="1145"/>
      <c r="N51" s="1145"/>
      <c r="O51" s="1145"/>
      <c r="P51" s="1145"/>
      <c r="Q51" s="54"/>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X51" s="1909"/>
      <c r="AY51" s="1910"/>
    </row>
    <row r="52" spans="1:51" ht="18.95" customHeight="1" thickBot="1">
      <c r="A52" s="55"/>
      <c r="B52" s="1145"/>
      <c r="C52" s="1145"/>
      <c r="D52" s="1145"/>
      <c r="E52" s="1145"/>
      <c r="F52" s="1145"/>
      <c r="G52" s="1145"/>
      <c r="H52" s="1145"/>
      <c r="I52" s="1145"/>
      <c r="J52" s="1145"/>
      <c r="K52" s="1145"/>
      <c r="L52" s="1145"/>
      <c r="M52" s="1145"/>
      <c r="N52" s="1145"/>
      <c r="O52" s="1145"/>
      <c r="P52" s="1145"/>
      <c r="Q52" s="54"/>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X52" s="1909"/>
      <c r="AY52" s="1910"/>
    </row>
    <row r="53" spans="1:51" ht="26.25" customHeight="1" thickBot="1">
      <c r="A53" s="50" t="s">
        <v>742</v>
      </c>
      <c r="B53" s="2477" t="s">
        <v>2034</v>
      </c>
      <c r="C53" s="2478"/>
      <c r="D53" s="2478"/>
      <c r="E53" s="2478"/>
      <c r="F53" s="2478"/>
      <c r="G53" s="2478"/>
      <c r="H53" s="2478"/>
      <c r="I53" s="2478"/>
      <c r="J53" s="2478"/>
      <c r="K53" s="2478"/>
      <c r="L53" s="2478"/>
      <c r="M53" s="2478"/>
      <c r="N53" s="2478"/>
      <c r="O53" s="2478"/>
      <c r="P53" s="2478"/>
      <c r="Q53" s="2479"/>
      <c r="S53" s="2480" t="s">
        <v>1596</v>
      </c>
      <c r="T53" s="2481"/>
      <c r="U53" s="2481"/>
      <c r="V53" s="2481"/>
      <c r="W53" s="2481"/>
      <c r="X53" s="2481"/>
      <c r="Y53" s="2452" t="s">
        <v>1595</v>
      </c>
      <c r="Z53" s="2452"/>
      <c r="AA53" s="2452"/>
      <c r="AB53" s="2452"/>
      <c r="AC53" s="2452"/>
      <c r="AD53" s="2452"/>
      <c r="AE53" s="2452"/>
      <c r="AF53" s="2482"/>
      <c r="AH53" s="1115"/>
      <c r="AI53" s="729"/>
      <c r="AJ53" s="729"/>
      <c r="AK53" s="729"/>
      <c r="AL53" s="729"/>
      <c r="AM53" s="729"/>
      <c r="AN53" s="729"/>
      <c r="AO53" s="729"/>
      <c r="AP53" s="729"/>
      <c r="AQ53" s="729"/>
      <c r="AR53" s="729"/>
      <c r="AS53" s="729"/>
      <c r="AT53" s="729"/>
      <c r="AU53" s="729"/>
      <c r="AV53" s="729"/>
      <c r="AX53" s="1911" t="s">
        <v>1597</v>
      </c>
      <c r="AY53" s="1912">
        <f>ROW()</f>
        <v>53</v>
      </c>
    </row>
    <row r="54" spans="1:51" ht="28.5" customHeight="1">
      <c r="A54" s="49" t="s">
        <v>819</v>
      </c>
      <c r="B54" s="2483" t="str">
        <f>T54</f>
        <v>Boudin blanc méthode de fabrication à chaud</v>
      </c>
      <c r="C54" s="2484"/>
      <c r="D54" s="2484"/>
      <c r="E54" s="2484"/>
      <c r="F54" s="2484"/>
      <c r="G54" s="2484"/>
      <c r="H54" s="654" t="str">
        <f>X54</f>
        <v>N°1</v>
      </c>
      <c r="I54" s="1467" t="s">
        <v>819</v>
      </c>
      <c r="J54" s="2485" t="str">
        <f>T54</f>
        <v>Boudin blanc méthode de fabrication à chaud</v>
      </c>
      <c r="K54" s="2486"/>
      <c r="L54" s="2486"/>
      <c r="M54" s="2486"/>
      <c r="N54" s="2486"/>
      <c r="O54" s="2486"/>
      <c r="P54" s="654" t="str">
        <f>X54</f>
        <v>N°1</v>
      </c>
      <c r="Q54" s="1343" t="s">
        <v>818</v>
      </c>
      <c r="S54" s="1582" t="s">
        <v>75</v>
      </c>
      <c r="T54" s="2487" t="s">
        <v>2131</v>
      </c>
      <c r="U54" s="2487"/>
      <c r="V54" s="2487"/>
      <c r="W54" s="2487"/>
      <c r="X54" s="1583" t="s">
        <v>74</v>
      </c>
      <c r="Y54" s="784"/>
      <c r="Z54" s="784"/>
      <c r="AA54" s="784"/>
      <c r="AB54" s="784"/>
      <c r="AC54" s="1503" t="str">
        <f>LEFT(ADDRESS(1,COLUMN(),4),LEN(ADDRESS(1,COLUMN(),4))-1)</f>
        <v>AC</v>
      </c>
      <c r="AD54" s="784"/>
      <c r="AE54" s="784"/>
      <c r="AF54" s="1114"/>
      <c r="AH54" s="2451" t="s">
        <v>735</v>
      </c>
      <c r="AI54" s="2452"/>
      <c r="AJ54" s="2452"/>
      <c r="AK54" s="2452"/>
      <c r="AL54" s="2452"/>
      <c r="AM54" s="2452"/>
      <c r="AN54" s="2452"/>
      <c r="AO54" s="2452"/>
      <c r="AP54" s="2452"/>
      <c r="AQ54" s="2452"/>
      <c r="AR54" s="2452"/>
      <c r="AS54" s="2452"/>
      <c r="AT54" s="2452"/>
      <c r="AU54" s="2452"/>
      <c r="AV54" s="2452"/>
      <c r="AX54" s="791" t="s">
        <v>755</v>
      </c>
      <c r="AY54" s="1495">
        <f>ROW()</f>
        <v>54</v>
      </c>
    </row>
    <row r="55" spans="1:51" ht="18" customHeight="1">
      <c r="A55" s="2609"/>
      <c r="B55" s="1575" t="s">
        <v>73</v>
      </c>
      <c r="C55" s="48" t="str">
        <f>T55</f>
        <v>Guy KRENZER - Eric GODDYN - Emmanuel HENRY</v>
      </c>
      <c r="D55" s="47"/>
      <c r="E55" s="47"/>
      <c r="F55" s="47"/>
      <c r="G55" s="47"/>
      <c r="H55" s="47"/>
      <c r="I55" s="2454"/>
      <c r="J55" s="44" t="s">
        <v>73</v>
      </c>
      <c r="K55" s="48" t="str">
        <f>T55</f>
        <v>Guy KRENZER - Eric GODDYN - Emmanuel HENRY</v>
      </c>
      <c r="L55" s="47"/>
      <c r="M55" s="47"/>
      <c r="N55" s="47"/>
      <c r="O55" s="47"/>
      <c r="P55" s="47"/>
      <c r="Q55" s="2455"/>
      <c r="S55" s="1584" t="s">
        <v>2195</v>
      </c>
      <c r="T55" s="2456" t="s">
        <v>2172</v>
      </c>
      <c r="U55" s="2456"/>
      <c r="V55" s="2456"/>
      <c r="W55" s="2456"/>
      <c r="X55" s="2457"/>
      <c r="Y55" s="2458" t="s">
        <v>736</v>
      </c>
      <c r="Z55" s="2459"/>
      <c r="AA55" s="2459"/>
      <c r="AB55" s="2459"/>
      <c r="AC55" s="2459"/>
      <c r="AD55" s="2459"/>
      <c r="AE55" s="2459"/>
      <c r="AF55" s="2460"/>
      <c r="AH55" s="2461" t="s">
        <v>736</v>
      </c>
      <c r="AI55" s="2462"/>
      <c r="AJ55" s="2462"/>
      <c r="AK55" s="2462"/>
      <c r="AL55" s="2462"/>
      <c r="AM55" s="2462"/>
      <c r="AN55" s="2462"/>
      <c r="AO55" s="2462"/>
      <c r="AP55" s="2462"/>
      <c r="AQ55" s="2462"/>
      <c r="AR55" s="2462"/>
      <c r="AS55" s="2462"/>
      <c r="AT55" s="2462"/>
      <c r="AU55" s="2462"/>
      <c r="AV55" s="2462"/>
      <c r="AX55" s="791" t="s">
        <v>755</v>
      </c>
      <c r="AY55" s="1495">
        <f>ROW()</f>
        <v>55</v>
      </c>
    </row>
    <row r="56" spans="1:51" ht="18" customHeight="1" thickBot="1">
      <c r="A56" s="2609"/>
      <c r="B56" s="1575" t="str">
        <f>S56</f>
        <v>❸ Constituant de quelle recette ?</v>
      </c>
      <c r="C56" s="46"/>
      <c r="D56" s="46"/>
      <c r="E56" s="46" t="str">
        <f>W56</f>
        <v>? une pâtisserie est souvent composée de recettes filles  attachées à une recette Mère</v>
      </c>
      <c r="F56" s="44"/>
      <c r="G56" s="54"/>
      <c r="H56" s="54"/>
      <c r="I56" s="2454"/>
      <c r="J56" s="44" t="str">
        <f>S56</f>
        <v>❸ Constituant de quelle recette ?</v>
      </c>
      <c r="K56" s="44"/>
      <c r="L56" s="44"/>
      <c r="M56" s="44"/>
      <c r="N56" s="44"/>
      <c r="O56" s="2463" t="str">
        <f>W56</f>
        <v>? une pâtisserie est souvent composée de recettes filles  attachées à une recette Mère</v>
      </c>
      <c r="P56" s="2463"/>
      <c r="Q56" s="2455"/>
      <c r="S56" s="1585" t="s">
        <v>71</v>
      </c>
      <c r="T56" s="342"/>
      <c r="U56" s="342"/>
      <c r="V56" s="342"/>
      <c r="W56" s="2464" t="s">
        <v>684</v>
      </c>
      <c r="X56" s="2465"/>
      <c r="Y56" s="2458"/>
      <c r="Z56" s="2459"/>
      <c r="AA56" s="2459"/>
      <c r="AB56" s="2459"/>
      <c r="AC56" s="2459"/>
      <c r="AD56" s="2459"/>
      <c r="AE56" s="2459"/>
      <c r="AF56" s="2460"/>
      <c r="AH56" s="2461"/>
      <c r="AI56" s="2462"/>
      <c r="AJ56" s="2462"/>
      <c r="AK56" s="2462"/>
      <c r="AL56" s="2462"/>
      <c r="AM56" s="2462"/>
      <c r="AN56" s="2462"/>
      <c r="AO56" s="2462"/>
      <c r="AP56" s="2462"/>
      <c r="AQ56" s="2462"/>
      <c r="AR56" s="2462"/>
      <c r="AS56" s="2462"/>
      <c r="AT56" s="2462"/>
      <c r="AU56" s="2462"/>
      <c r="AV56" s="2462"/>
      <c r="AX56" s="791" t="s">
        <v>755</v>
      </c>
      <c r="AY56" s="1495">
        <f>ROW()</f>
        <v>56</v>
      </c>
    </row>
    <row r="57" spans="1:51" ht="18" customHeight="1">
      <c r="A57" s="2609"/>
      <c r="B57" s="2509" t="s">
        <v>1566</v>
      </c>
      <c r="C57" s="2510"/>
      <c r="D57" s="2511">
        <v>10</v>
      </c>
      <c r="E57" s="641"/>
      <c r="F57" s="54"/>
      <c r="G57" s="54"/>
      <c r="H57" s="655"/>
      <c r="I57" s="2454"/>
      <c r="J57" s="2513">
        <v>0.13500000000000001</v>
      </c>
      <c r="K57" s="2393" t="s">
        <v>1707</v>
      </c>
      <c r="L57" s="2393"/>
      <c r="M57" s="1505"/>
      <c r="N57" s="1505"/>
      <c r="O57" s="2443" t="str">
        <f>IF(D59=1,"avec le poids BRUT de la recette vous pourriez faire : Nb de portions &gt;","avec le poids NET de la recette vous pourriez faire : Nb de portions &gt;")</f>
        <v>avec le poids BRUT de la recette vous pourriez faire : Nb de portions &gt;</v>
      </c>
      <c r="P57" s="2445">
        <f>IF(F60&gt;0,(F60/J57),(D60/J57))</f>
        <v>74.074074074074076</v>
      </c>
      <c r="Q57" s="2455"/>
      <c r="S57" s="1574"/>
      <c r="T57" s="42"/>
      <c r="U57" s="42"/>
      <c r="V57" s="42"/>
      <c r="W57" s="1573"/>
      <c r="X57" s="1055"/>
      <c r="Y57" s="2447" t="s">
        <v>574</v>
      </c>
      <c r="Z57" s="2447"/>
      <c r="AA57" s="2448"/>
      <c r="AB57" s="2426" t="s">
        <v>817</v>
      </c>
      <c r="AC57" s="2427" t="str">
        <f>IF(AC60&gt;0,"vous avez saisi un % de perte pour TOUTE LA RECETTE colonne Z",IF(AC92&gt;0,"Vous avez saisi des pourcentages de PERTES par produit colonne Z","Vous pouvez saisir un % de perte pour chaque PRODUIT ou pour la recette colonne Z"))</f>
        <v>Vous pouvez saisir un % de perte pour chaque PRODUIT ou pour la recette colonne Z</v>
      </c>
      <c r="AD57" s="2427"/>
      <c r="AE57" s="2427"/>
      <c r="AF57" s="2428"/>
      <c r="AH57" s="1334"/>
      <c r="AI57" s="1497"/>
      <c r="AJ57" s="1497"/>
      <c r="AK57" s="346"/>
      <c r="AL57" s="346"/>
      <c r="AM57" s="346"/>
      <c r="AN57" s="346"/>
      <c r="AO57" s="346"/>
      <c r="AP57" s="346"/>
      <c r="AQ57" s="346"/>
      <c r="AR57" s="600"/>
      <c r="AS57" s="600"/>
      <c r="AT57" s="600"/>
      <c r="AU57" s="600"/>
      <c r="AV57" s="600"/>
      <c r="AX57" s="791" t="s">
        <v>755</v>
      </c>
      <c r="AY57" s="1495">
        <f>ROW()</f>
        <v>57</v>
      </c>
    </row>
    <row r="58" spans="1:51" ht="18" customHeight="1" thickBot="1">
      <c r="A58" s="2609"/>
      <c r="B58" s="1586">
        <f>D57*1000</f>
        <v>10000</v>
      </c>
      <c r="C58" s="1587" t="s">
        <v>1600</v>
      </c>
      <c r="D58" s="2512"/>
      <c r="E58" s="2521"/>
      <c r="F58" s="2521"/>
      <c r="G58" s="726" t="str">
        <f>IF(D59=1,"",IF(AC60&gt;0,AC60,""))</f>
        <v/>
      </c>
      <c r="H58" s="655"/>
      <c r="I58" s="2454"/>
      <c r="J58" s="2514"/>
      <c r="K58" s="2394"/>
      <c r="L58" s="2394"/>
      <c r="M58" s="1501"/>
      <c r="N58" s="1501"/>
      <c r="O58" s="2444"/>
      <c r="P58" s="2446"/>
      <c r="Q58" s="2455"/>
      <c r="S58" s="609" t="s">
        <v>106</v>
      </c>
      <c r="T58" s="608" t="str">
        <f>AC57</f>
        <v>Vous pouvez saisir un % de perte pour chaque PRODUIT ou pour la recette colonne Z</v>
      </c>
      <c r="U58" s="42"/>
      <c r="V58" s="42"/>
      <c r="W58" s="1573"/>
      <c r="X58" s="1055"/>
      <c r="Y58" s="2447"/>
      <c r="Z58" s="2447"/>
      <c r="AA58" s="2448"/>
      <c r="AB58" s="2426"/>
      <c r="AC58" s="2427"/>
      <c r="AD58" s="2427"/>
      <c r="AE58" s="2427"/>
      <c r="AF58" s="2428"/>
      <c r="AH58" s="2468" t="s">
        <v>2197</v>
      </c>
      <c r="AI58" s="2469"/>
      <c r="AJ58" s="2470"/>
      <c r="AK58" s="2469" t="s">
        <v>697</v>
      </c>
      <c r="AL58" s="2469"/>
      <c r="AM58" s="2469"/>
      <c r="AN58" s="2470"/>
      <c r="AO58" s="2468" t="s">
        <v>698</v>
      </c>
      <c r="AP58" s="2469"/>
      <c r="AQ58" s="2469"/>
      <c r="AR58" s="2470"/>
      <c r="AS58" s="2468" t="s">
        <v>586</v>
      </c>
      <c r="AT58" s="2469"/>
      <c r="AU58" s="2469"/>
      <c r="AV58" s="2469"/>
      <c r="AX58" s="791" t="s">
        <v>755</v>
      </c>
      <c r="AY58" s="1495">
        <f>ROW()</f>
        <v>58</v>
      </c>
    </row>
    <row r="59" spans="1:51" ht="18" customHeight="1">
      <c r="A59" s="2609"/>
      <c r="B59" s="1588"/>
      <c r="C59" s="614" t="s">
        <v>1567</v>
      </c>
      <c r="D59" s="612">
        <v>1</v>
      </c>
      <c r="E59" s="642" t="str">
        <f>IF(D59=1,AH58,IF(D59=2,AK58,IF(D59=3,AO58,IF(D59&gt;3,"LE N° DE CHOIX S'ARRETE AU N° 3"))))</f>
        <v xml:space="preserve">1 = RECETTE DE L'AUTEUR AVEC VOTRE POIDS SAISI </v>
      </c>
      <c r="F59" s="643"/>
      <c r="G59" s="643"/>
      <c r="H59" s="655"/>
      <c r="I59" s="2454"/>
      <c r="J59" s="1345">
        <v>4</v>
      </c>
      <c r="K59" s="1346" t="s">
        <v>1697</v>
      </c>
      <c r="L59" s="1347"/>
      <c r="M59" s="1347"/>
      <c r="N59" s="1347"/>
      <c r="O59" s="1506"/>
      <c r="P59" s="2517">
        <f>(J60*J59)</f>
        <v>0.44</v>
      </c>
      <c r="Q59" s="2455"/>
      <c r="S59" s="1569"/>
      <c r="T59" s="36" t="s">
        <v>1</v>
      </c>
      <c r="U59" s="37">
        <v>2</v>
      </c>
      <c r="V59" s="37"/>
      <c r="W59" s="36" t="s">
        <v>0</v>
      </c>
      <c r="X59" s="1106">
        <v>2</v>
      </c>
      <c r="Y59" s="2447"/>
      <c r="Z59" s="2447"/>
      <c r="AA59" s="2448"/>
      <c r="AB59" s="2426"/>
      <c r="AC59" s="2427"/>
      <c r="AD59" s="2427"/>
      <c r="AE59" s="2427"/>
      <c r="AF59" s="2428"/>
      <c r="AH59" s="2468"/>
      <c r="AI59" s="2469"/>
      <c r="AJ59" s="2470"/>
      <c r="AK59" s="2468"/>
      <c r="AL59" s="2469"/>
      <c r="AM59" s="2469"/>
      <c r="AN59" s="2470"/>
      <c r="AO59" s="2468"/>
      <c r="AP59" s="2469"/>
      <c r="AQ59" s="2469"/>
      <c r="AR59" s="2470"/>
      <c r="AS59" s="2468"/>
      <c r="AT59" s="2469"/>
      <c r="AU59" s="2469"/>
      <c r="AV59" s="2469"/>
      <c r="AX59" s="791" t="s">
        <v>755</v>
      </c>
      <c r="AY59" s="1495">
        <f>ROW()</f>
        <v>59</v>
      </c>
    </row>
    <row r="60" spans="1:51" ht="30" customHeight="1">
      <c r="A60" s="2609"/>
      <c r="B60" s="639"/>
      <c r="C60" s="639" t="str">
        <f>IF(D59=1,"CHOIX N° 1",IF(D59=2,"CHOIX N° 2",IF(D59=3,"CHOIX N° 3","QUEL CHOIX?")))</f>
        <v>CHOIX N° 1</v>
      </c>
      <c r="D60" s="1295">
        <f>D93</f>
        <v>10</v>
      </c>
      <c r="E60" s="2383" t="s">
        <v>52</v>
      </c>
      <c r="F60" s="1295">
        <f>F93</f>
        <v>0</v>
      </c>
      <c r="G60" s="1589" t="s">
        <v>1568</v>
      </c>
      <c r="I60" s="2454"/>
      <c r="J60" s="1913">
        <v>0.11</v>
      </c>
      <c r="K60" s="1080" t="s">
        <v>1695</v>
      </c>
      <c r="L60" s="1081"/>
      <c r="M60" s="1081"/>
      <c r="N60" s="1081"/>
      <c r="O60" s="1121" t="s">
        <v>1599</v>
      </c>
      <c r="P60" s="2518"/>
      <c r="Q60" s="2455"/>
      <c r="S60" s="1590" t="s">
        <v>1696</v>
      </c>
      <c r="T60" s="1309"/>
      <c r="U60" s="1309"/>
      <c r="V60" s="1922">
        <v>10</v>
      </c>
      <c r="W60" s="1075" t="s">
        <v>67</v>
      </c>
      <c r="X60" s="1288">
        <f>X92</f>
        <v>10</v>
      </c>
      <c r="Y60" s="2519">
        <v>1</v>
      </c>
      <c r="Z60" s="2519"/>
      <c r="AA60" s="2520"/>
      <c r="AB60" s="2426"/>
      <c r="AC60" s="629"/>
      <c r="AD60" s="1349" t="s">
        <v>1575</v>
      </c>
      <c r="AE60" s="1350"/>
      <c r="AF60" s="1351"/>
      <c r="AH60" s="601"/>
      <c r="AI60" s="603" t="s">
        <v>578</v>
      </c>
      <c r="AJ60" s="1294">
        <f>D57</f>
        <v>10</v>
      </c>
      <c r="AK60" s="601"/>
      <c r="AL60" s="602"/>
      <c r="AM60" s="603" t="s">
        <v>578</v>
      </c>
      <c r="AN60" s="1294">
        <f>D57</f>
        <v>10</v>
      </c>
      <c r="AO60" s="617"/>
      <c r="AP60" s="603"/>
      <c r="AQ60" s="603" t="s">
        <v>582</v>
      </c>
      <c r="AR60" s="1303">
        <f>D57</f>
        <v>10</v>
      </c>
      <c r="AS60" s="602"/>
      <c r="AT60" s="593">
        <f>SUM(AT62:AT91)</f>
        <v>0</v>
      </c>
      <c r="AU60" s="615"/>
      <c r="AV60" s="616"/>
      <c r="AX60" s="791" t="s">
        <v>755</v>
      </c>
      <c r="AY60" s="1495">
        <f>ROW()</f>
        <v>60</v>
      </c>
    </row>
    <row r="61" spans="1:51" ht="36.75" customHeight="1">
      <c r="A61" s="2609"/>
      <c r="B61" s="1442" t="s">
        <v>61</v>
      </c>
      <c r="C61" s="1443" t="s">
        <v>60</v>
      </c>
      <c r="D61" s="1443" t="s">
        <v>577</v>
      </c>
      <c r="E61" s="2383"/>
      <c r="F61" s="1444" t="s">
        <v>576</v>
      </c>
      <c r="G61" s="1286" t="s">
        <v>65</v>
      </c>
      <c r="H61" s="1352" t="s">
        <v>64</v>
      </c>
      <c r="I61" s="2454"/>
      <c r="J61" s="1353"/>
      <c r="K61" s="1354" t="s">
        <v>1</v>
      </c>
      <c r="L61" s="1355">
        <f>U59</f>
        <v>2</v>
      </c>
      <c r="M61" s="1355"/>
      <c r="N61" s="1355"/>
      <c r="O61" s="1356" t="s">
        <v>0</v>
      </c>
      <c r="P61" s="1355">
        <f>X59</f>
        <v>2</v>
      </c>
      <c r="Q61" s="2455"/>
      <c r="R61" s="1357" t="s">
        <v>1487</v>
      </c>
      <c r="S61" s="1358" t="s">
        <v>61</v>
      </c>
      <c r="T61" s="1359" t="s">
        <v>60</v>
      </c>
      <c r="U61" s="1360" t="s">
        <v>63</v>
      </c>
      <c r="V61" s="1360"/>
      <c r="W61" s="1361" t="s">
        <v>62</v>
      </c>
      <c r="X61" s="625"/>
      <c r="Y61" s="622" t="s">
        <v>490</v>
      </c>
      <c r="Z61" s="622" t="s">
        <v>61</v>
      </c>
      <c r="AA61" s="620" t="s">
        <v>60</v>
      </c>
      <c r="AB61" s="1060"/>
      <c r="AC61" s="718" t="s">
        <v>1565</v>
      </c>
      <c r="AD61" s="718" t="s">
        <v>702</v>
      </c>
      <c r="AE61" s="622" t="s">
        <v>703</v>
      </c>
      <c r="AF61" s="620" t="s">
        <v>474</v>
      </c>
      <c r="AG61" s="1357" t="s">
        <v>1487</v>
      </c>
      <c r="AH61" s="619" t="s">
        <v>577</v>
      </c>
      <c r="AI61" s="622" t="s">
        <v>61</v>
      </c>
      <c r="AJ61" s="622" t="s">
        <v>60</v>
      </c>
      <c r="AK61" s="619" t="s">
        <v>576</v>
      </c>
      <c r="AL61" s="645" t="s">
        <v>577</v>
      </c>
      <c r="AM61" s="622" t="s">
        <v>61</v>
      </c>
      <c r="AN61" s="620" t="s">
        <v>60</v>
      </c>
      <c r="AO61" s="645" t="s">
        <v>576</v>
      </c>
      <c r="AP61" s="622" t="s">
        <v>577</v>
      </c>
      <c r="AQ61" s="622" t="s">
        <v>61</v>
      </c>
      <c r="AR61" s="620" t="s">
        <v>60</v>
      </c>
      <c r="AS61" s="619" t="s">
        <v>576</v>
      </c>
      <c r="AT61" s="622" t="s">
        <v>577</v>
      </c>
      <c r="AU61" s="622" t="s">
        <v>61</v>
      </c>
      <c r="AV61" s="622" t="s">
        <v>60</v>
      </c>
      <c r="AX61" s="791" t="s">
        <v>755</v>
      </c>
      <c r="AY61" s="1495">
        <f>ROW()</f>
        <v>61</v>
      </c>
    </row>
    <row r="62" spans="1:51" ht="18.95" customHeight="1">
      <c r="A62" s="2609"/>
      <c r="B62" s="1437">
        <f>IF(D59=1,AI62,IF(D59=2,AM62,IF(D59=3,AQ62,IF(D59=4,AU62))))</f>
        <v>0</v>
      </c>
      <c r="C62" s="1438">
        <f>IF(D59=1,AJ62,IF(D59=2,AN62,IF(D59=3,AR62,IF(D59=4,AV62))))</f>
        <v>0</v>
      </c>
      <c r="D62" s="1510">
        <f>IF(D59=1,AH62,IF(D59=2,AL62,IF(D59=3,AP62,IF(D59=4,AT62))))</f>
        <v>4</v>
      </c>
      <c r="E62" s="1440" t="str">
        <f>IF(D59=1,"",IF(D62=F62,"",AE62))</f>
        <v/>
      </c>
      <c r="F62" s="1445" t="str">
        <f>IF(D59=1,"",IF(D59=2,AK62,IF(D59=3,AO62,IF(D59=4,AS62))))</f>
        <v/>
      </c>
      <c r="G62" s="22" t="str">
        <f t="shared" ref="G62:G91" si="0">W62</f>
        <v>Lait aromatisé : 40</v>
      </c>
      <c r="H62" s="1312">
        <f>X60</f>
        <v>10</v>
      </c>
      <c r="I62" s="2454"/>
      <c r="J62" s="1280" t="s">
        <v>68</v>
      </c>
      <c r="K62" s="1591"/>
      <c r="L62" s="1592"/>
      <c r="M62" s="1592"/>
      <c r="N62" s="1592"/>
      <c r="O62" s="1593"/>
      <c r="P62" s="1594"/>
      <c r="Q62" s="2455"/>
      <c r="S62" s="1914"/>
      <c r="T62" s="1363"/>
      <c r="U62" s="1364">
        <f>V$60*V62</f>
        <v>4</v>
      </c>
      <c r="V62" s="1923">
        <v>0.4</v>
      </c>
      <c r="W62" s="19" t="s">
        <v>2182</v>
      </c>
      <c r="X62" s="1279">
        <f t="shared" ref="X62:X91" si="1">IF(ISBLANK(S62),U62,(U62*S62))</f>
        <v>4</v>
      </c>
      <c r="Y62" s="1289">
        <f>(X62/X60)*Y60</f>
        <v>0.4</v>
      </c>
      <c r="Z62" s="18" t="str">
        <f>IF(ISBLANK(S62),"",(S62/X60)*Y60)</f>
        <v/>
      </c>
      <c r="AA62" s="594">
        <f>T62</f>
        <v>0</v>
      </c>
      <c r="AB62" s="1365">
        <f>X62/X60</f>
        <v>0.4</v>
      </c>
      <c r="AC62" s="630"/>
      <c r="AD62" s="624">
        <f>AC60</f>
        <v>0</v>
      </c>
      <c r="AE62" s="624">
        <f>AC62+AD62</f>
        <v>0</v>
      </c>
      <c r="AF62" s="1366">
        <f>1-AE62</f>
        <v>1</v>
      </c>
      <c r="AH62" s="1290">
        <f>((X62/X60)*AJ60)</f>
        <v>4</v>
      </c>
      <c r="AI62" s="18">
        <f>IF(ISTEXT(S62),S62,IF(ISBLANK(S62),0,(S62/X60)*AJ60))</f>
        <v>0</v>
      </c>
      <c r="AJ62" s="17">
        <f t="shared" ref="AJ62:AJ91" si="2">T62</f>
        <v>0</v>
      </c>
      <c r="AK62" s="1291">
        <f t="shared" ref="AK62:AK91" si="3">AL62*AF62</f>
        <v>4</v>
      </c>
      <c r="AL62" s="1292">
        <f>AN60*AB62</f>
        <v>4</v>
      </c>
      <c r="AM62" s="18">
        <f>IF(ISBLANK(S62),0,(S62/X60)*AN60)</f>
        <v>0</v>
      </c>
      <c r="AN62" s="594">
        <f t="shared" ref="AN62:AN91" si="4">T62</f>
        <v>0</v>
      </c>
      <c r="AO62" s="1292">
        <f>AL62</f>
        <v>4</v>
      </c>
      <c r="AP62" s="1293">
        <f t="shared" ref="AP62:AP91" si="5">(AO62*AE62)+AO62</f>
        <v>4</v>
      </c>
      <c r="AQ62" s="18">
        <f>IF(ISBLANK(S62),0,(S62/X92)*AP93)</f>
        <v>0</v>
      </c>
      <c r="AR62" s="594">
        <f t="shared" ref="AR62:AR91" si="6">T62</f>
        <v>0</v>
      </c>
      <c r="AS62" s="649" t="s">
        <v>588</v>
      </c>
      <c r="AT62" s="648" t="s">
        <v>589</v>
      </c>
      <c r="AU62" s="648" t="s">
        <v>587</v>
      </c>
      <c r="AV62" s="648">
        <v>3</v>
      </c>
      <c r="AX62" s="791" t="s">
        <v>755</v>
      </c>
      <c r="AY62" s="1495">
        <f>ROW()</f>
        <v>62</v>
      </c>
    </row>
    <row r="63" spans="1:51" ht="18.95" customHeight="1">
      <c r="A63" s="2609"/>
      <c r="B63" s="1437">
        <f>IF(D59=1,AI63,IF(D59=2,AM63,IF(D59=3,AQ63,IF(D59=4,AU63))))</f>
        <v>0</v>
      </c>
      <c r="C63" s="1438">
        <f>IF(D59=1,AJ63,IF(D59=2,AN63,IF(D59=3,AR63,IF(D59=4,AV63))))</f>
        <v>0</v>
      </c>
      <c r="D63" s="1510">
        <f>IF(D59=1,AH63,IF(D59=2,AL63,IF(D59=3,AP63,IF(D59=4,AT63))))</f>
        <v>2.36</v>
      </c>
      <c r="E63" s="1440" t="str">
        <f>IF(D59=1,"",IF(D63=F63,"",AE63))</f>
        <v/>
      </c>
      <c r="F63" s="1445" t="str">
        <f>IF(D59=1,"",IF(D59=2,AK63,IF(D59=3,AO63,IF(D59=4,AS63))))</f>
        <v/>
      </c>
      <c r="G63" s="22" t="str">
        <f t="shared" si="0"/>
        <v xml:space="preserve">poitrine de porc : 23,6 </v>
      </c>
      <c r="H63" s="22"/>
      <c r="I63" s="2454"/>
      <c r="J63" s="1530">
        <v>1</v>
      </c>
      <c r="K63" s="15" t="s">
        <v>2149</v>
      </c>
      <c r="L63" s="15"/>
      <c r="M63" s="15"/>
      <c r="N63" s="15"/>
      <c r="O63" s="15"/>
      <c r="P63" s="1915"/>
      <c r="Q63" s="2455"/>
      <c r="S63" s="1914"/>
      <c r="T63" s="1363"/>
      <c r="U63" s="1364">
        <f t="shared" ref="U63:U79" si="7">V$60*V63</f>
        <v>2.36</v>
      </c>
      <c r="V63" s="1923">
        <v>0.23599999999999999</v>
      </c>
      <c r="W63" s="19" t="s">
        <v>2183</v>
      </c>
      <c r="X63" s="1279">
        <f t="shared" si="1"/>
        <v>2.36</v>
      </c>
      <c r="Y63" s="1289">
        <f>(X63/X60)*Y60</f>
        <v>0.23599999999999999</v>
      </c>
      <c r="Z63" s="18" t="str">
        <f>IF(ISBLANK(S63),"",(S63/X60)*Y60)</f>
        <v/>
      </c>
      <c r="AA63" s="594">
        <f>T63</f>
        <v>0</v>
      </c>
      <c r="AB63" s="1365">
        <f>X63/X60</f>
        <v>0.23599999999999999</v>
      </c>
      <c r="AC63" s="630"/>
      <c r="AD63" s="624">
        <f>AC60</f>
        <v>0</v>
      </c>
      <c r="AE63" s="624">
        <f t="shared" ref="AE63:AE91" si="8">AC63+AD63</f>
        <v>0</v>
      </c>
      <c r="AF63" s="1366">
        <f t="shared" ref="AF63:AF91" si="9">1-AE63</f>
        <v>1</v>
      </c>
      <c r="AH63" s="1290">
        <f>((X63/X60)*AJ60)</f>
        <v>2.36</v>
      </c>
      <c r="AI63" s="18">
        <f>IF(ISTEXT(S63),S63,IF(ISBLANK(S63),0,(S63/X60)*AJ60))</f>
        <v>0</v>
      </c>
      <c r="AJ63" s="17">
        <f t="shared" si="2"/>
        <v>0</v>
      </c>
      <c r="AK63" s="1291">
        <f t="shared" si="3"/>
        <v>2.36</v>
      </c>
      <c r="AL63" s="1292">
        <f>AN60*AB63</f>
        <v>2.36</v>
      </c>
      <c r="AM63" s="18">
        <f>IF(ISBLANK(S63),0,(S63/X60)*AN60)</f>
        <v>0</v>
      </c>
      <c r="AN63" s="594">
        <f t="shared" si="4"/>
        <v>0</v>
      </c>
      <c r="AO63" s="1292">
        <f>AL63</f>
        <v>2.36</v>
      </c>
      <c r="AP63" s="1293">
        <f t="shared" si="5"/>
        <v>2.36</v>
      </c>
      <c r="AQ63" s="18">
        <f>IF(ISBLANK(S63),0,(S63/X92)*AP93)</f>
        <v>0</v>
      </c>
      <c r="AR63" s="594">
        <f t="shared" si="6"/>
        <v>0</v>
      </c>
      <c r="AS63" s="649" t="s">
        <v>588</v>
      </c>
      <c r="AT63" s="648" t="s">
        <v>589</v>
      </c>
      <c r="AU63" s="648" t="s">
        <v>587</v>
      </c>
      <c r="AV63" s="648">
        <v>3</v>
      </c>
      <c r="AX63" s="1911" t="s">
        <v>758</v>
      </c>
      <c r="AY63" s="1912">
        <f>ROW()</f>
        <v>63</v>
      </c>
    </row>
    <row r="64" spans="1:51" ht="18.95" customHeight="1">
      <c r="A64" s="2609"/>
      <c r="B64" s="1437">
        <f>IF(D59=1,AI64,IF(D59=2,AM64,IF(D59=3,AQ64,IF(D59=4,AU64))))</f>
        <v>0</v>
      </c>
      <c r="C64" s="1438">
        <f>IF(D59=1,AJ64,IF(D59=2,AN64,IF(D59=3,AR64,IF(D59=4,AV64))))</f>
        <v>0</v>
      </c>
      <c r="D64" s="1510">
        <f>IF(D59=1,AH64,IF(D59=2,AL64,IF(D59=3,AP64,IF(D59=4,AT64))))</f>
        <v>1.4000000000000001</v>
      </c>
      <c r="E64" s="1440" t="str">
        <f>IF(D59=1,"",IF(D64=F64,"",AE64))</f>
        <v/>
      </c>
      <c r="F64" s="1445" t="str">
        <f>IF(D59=1,"",IF(D59=2,AK64,IF(D59=3,AO64,IF(D59=4,AS64))))</f>
        <v/>
      </c>
      <c r="G64" s="22" t="str">
        <f t="shared" si="0"/>
        <v xml:space="preserve">maigre de porc : 14 </v>
      </c>
      <c r="H64" s="22"/>
      <c r="I64" s="2454"/>
      <c r="J64" s="1530">
        <v>2</v>
      </c>
      <c r="K64" s="15" t="s">
        <v>2173</v>
      </c>
      <c r="L64" s="15"/>
      <c r="M64" s="15"/>
      <c r="N64" s="15"/>
      <c r="O64" s="15"/>
      <c r="P64" s="1915"/>
      <c r="Q64" s="2455"/>
      <c r="S64" s="1914"/>
      <c r="T64" s="1363"/>
      <c r="U64" s="1364">
        <f t="shared" si="7"/>
        <v>1.4000000000000001</v>
      </c>
      <c r="V64" s="1923">
        <v>0.14000000000000001</v>
      </c>
      <c r="W64" s="19" t="s">
        <v>2184</v>
      </c>
      <c r="X64" s="1279">
        <f t="shared" si="1"/>
        <v>1.4000000000000001</v>
      </c>
      <c r="Y64" s="1289">
        <f>(X64/X60)*Y60</f>
        <v>0.14000000000000001</v>
      </c>
      <c r="Z64" s="18" t="str">
        <f>IF(ISBLANK(S64),"",(S64/X60)*Y60)</f>
        <v/>
      </c>
      <c r="AA64" s="594">
        <f>T64</f>
        <v>0</v>
      </c>
      <c r="AB64" s="1365">
        <f>X64/X60</f>
        <v>0.14000000000000001</v>
      </c>
      <c r="AC64" s="630"/>
      <c r="AD64" s="624">
        <f>AC60</f>
        <v>0</v>
      </c>
      <c r="AE64" s="624">
        <f t="shared" si="8"/>
        <v>0</v>
      </c>
      <c r="AF64" s="1366">
        <f t="shared" si="9"/>
        <v>1</v>
      </c>
      <c r="AH64" s="1290">
        <f>((X64/X60)*AJ60)</f>
        <v>1.4000000000000001</v>
      </c>
      <c r="AI64" s="18">
        <f>IF(ISTEXT(S64),S64,IF(ISBLANK(S64),0,(S64/X60)*AJ60))</f>
        <v>0</v>
      </c>
      <c r="AJ64" s="17">
        <f t="shared" si="2"/>
        <v>0</v>
      </c>
      <c r="AK64" s="1291">
        <f t="shared" si="3"/>
        <v>1.4000000000000001</v>
      </c>
      <c r="AL64" s="1292">
        <f>AN60*AB64</f>
        <v>1.4000000000000001</v>
      </c>
      <c r="AM64" s="18">
        <f>IF(ISBLANK(S64),0,(S64/X60)*AN60)</f>
        <v>0</v>
      </c>
      <c r="AN64" s="594">
        <f t="shared" si="4"/>
        <v>0</v>
      </c>
      <c r="AO64" s="1292">
        <f t="shared" ref="AO64:AO91" si="10">AL64</f>
        <v>1.4000000000000001</v>
      </c>
      <c r="AP64" s="1293">
        <f t="shared" si="5"/>
        <v>1.4000000000000001</v>
      </c>
      <c r="AQ64" s="18">
        <f>IF(ISBLANK(S64),0,(S64/X92)*AP93)</f>
        <v>0</v>
      </c>
      <c r="AR64" s="594">
        <f t="shared" si="6"/>
        <v>0</v>
      </c>
      <c r="AS64" s="649" t="s">
        <v>588</v>
      </c>
      <c r="AT64" s="648" t="s">
        <v>589</v>
      </c>
      <c r="AU64" s="648" t="s">
        <v>587</v>
      </c>
      <c r="AV64" s="648">
        <v>3</v>
      </c>
      <c r="AX64" s="1909" t="s">
        <v>758</v>
      </c>
      <c r="AY64" s="1910">
        <f>ROW()</f>
        <v>64</v>
      </c>
    </row>
    <row r="65" spans="1:51" ht="18.95" customHeight="1">
      <c r="A65" s="2609"/>
      <c r="B65" s="1437">
        <f>IF(D59=1,AI65,IF(D59=2,AM65,IF(D59=3,AQ65,IF(D59=4,AU65))))</f>
        <v>0</v>
      </c>
      <c r="C65" s="1438">
        <f>IF(D59=1,AJ65,IF(D59=2,AN65,IF(D59=3,AR65,IF(D59=4,AV65))))</f>
        <v>0</v>
      </c>
      <c r="D65" s="1510">
        <f>IF(D59=1,AH65,IF(D59=2,AL65,IF(D59=3,AP65,IF(D59=4,AT65))))</f>
        <v>0.89999999999999991</v>
      </c>
      <c r="E65" s="1440" t="str">
        <f>IF(D59=1,"",IF(D65=F65,"",AE65))</f>
        <v/>
      </c>
      <c r="F65" s="1445" t="str">
        <f>IF(D59=1,"",IF(D59=2,AK65,IF(D59=3,AO65,IF(D59=4,AS65))))</f>
        <v/>
      </c>
      <c r="G65" s="22" t="str">
        <f t="shared" si="0"/>
        <v xml:space="preserve">gras d’épaule ou de jambon :9 </v>
      </c>
      <c r="H65" s="22"/>
      <c r="I65" s="2454"/>
      <c r="J65" s="1530">
        <v>3</v>
      </c>
      <c r="K65" s="15" t="s">
        <v>2150</v>
      </c>
      <c r="L65" s="15"/>
      <c r="M65" s="15"/>
      <c r="N65" s="15"/>
      <c r="O65" s="15"/>
      <c r="P65" s="1915"/>
      <c r="Q65" s="2455"/>
      <c r="S65" s="1914"/>
      <c r="T65" s="1363"/>
      <c r="U65" s="1364">
        <f t="shared" si="7"/>
        <v>0.89999999999999991</v>
      </c>
      <c r="V65" s="1923">
        <v>0.09</v>
      </c>
      <c r="W65" s="19" t="s">
        <v>2185</v>
      </c>
      <c r="X65" s="1279">
        <f t="shared" si="1"/>
        <v>0.89999999999999991</v>
      </c>
      <c r="Y65" s="1289">
        <f>(X65/X60)*Y60</f>
        <v>0.09</v>
      </c>
      <c r="Z65" s="18" t="str">
        <f>IF(ISBLANK(S65),"",(S65/X60)*Y60)</f>
        <v/>
      </c>
      <c r="AA65" s="594">
        <f t="shared" ref="AA65:AA91" si="11">T65</f>
        <v>0</v>
      </c>
      <c r="AB65" s="1365">
        <f>X65/X60</f>
        <v>0.09</v>
      </c>
      <c r="AC65" s="630"/>
      <c r="AD65" s="624">
        <f>AC60</f>
        <v>0</v>
      </c>
      <c r="AE65" s="624">
        <f t="shared" si="8"/>
        <v>0</v>
      </c>
      <c r="AF65" s="1366">
        <f t="shared" si="9"/>
        <v>1</v>
      </c>
      <c r="AH65" s="1290">
        <f>((X65/X60)*AJ60)</f>
        <v>0.89999999999999991</v>
      </c>
      <c r="AI65" s="18">
        <f>IF(ISTEXT(S65),S65,IF(ISBLANK(S65),0,(S65/X60)*AJ60))</f>
        <v>0</v>
      </c>
      <c r="AJ65" s="17">
        <f t="shared" si="2"/>
        <v>0</v>
      </c>
      <c r="AK65" s="1291">
        <f t="shared" si="3"/>
        <v>0.89999999999999991</v>
      </c>
      <c r="AL65" s="1292">
        <f>AN60*AB65</f>
        <v>0.89999999999999991</v>
      </c>
      <c r="AM65" s="18">
        <f>IF(ISBLANK(S65),0,(S65/X60)*AN60)</f>
        <v>0</v>
      </c>
      <c r="AN65" s="594">
        <f t="shared" si="4"/>
        <v>0</v>
      </c>
      <c r="AO65" s="1292">
        <f t="shared" si="10"/>
        <v>0.89999999999999991</v>
      </c>
      <c r="AP65" s="1293">
        <f t="shared" si="5"/>
        <v>0.89999999999999991</v>
      </c>
      <c r="AQ65" s="18">
        <f>IF(ISBLANK(S65),0,(S65/X92)*AP93)</f>
        <v>0</v>
      </c>
      <c r="AR65" s="594">
        <f t="shared" si="6"/>
        <v>0</v>
      </c>
      <c r="AS65" s="649" t="s">
        <v>588</v>
      </c>
      <c r="AT65" s="648" t="s">
        <v>589</v>
      </c>
      <c r="AU65" s="648" t="s">
        <v>587</v>
      </c>
      <c r="AV65" s="648">
        <v>3</v>
      </c>
      <c r="AX65" s="1911" t="s">
        <v>758</v>
      </c>
      <c r="AY65" s="1912">
        <f>ROW()</f>
        <v>65</v>
      </c>
    </row>
    <row r="66" spans="1:51" ht="18.95" customHeight="1">
      <c r="A66" s="2609"/>
      <c r="B66" s="1437">
        <f>IF(D59=1,AI66,IF(D59=2,AM66,IF(D59=3,AQ66,IF(D59=4,AU66))))</f>
        <v>0</v>
      </c>
      <c r="C66" s="1438">
        <f>IF(D59=1,AJ66,IF(D59=2,AN66,IF(D59=3,AR66,IF(D59=4,AV66))))</f>
        <v>0</v>
      </c>
      <c r="D66" s="1510">
        <f>IF(D59=1,AH66,IF(D59=2,AL66,IF(D59=3,AP66,IF(D59=4,AT66))))</f>
        <v>0.6</v>
      </c>
      <c r="E66" s="1440" t="str">
        <f>IF(D59=1,"",IF(D66=F66,"",AE66))</f>
        <v/>
      </c>
      <c r="F66" s="1445" t="str">
        <f>IF(D59=1,"",IF(D59=2,AK66,IF(D59=3,AO66,IF(D59=4,AS66))))</f>
        <v/>
      </c>
      <c r="G66" s="22" t="str">
        <f t="shared" si="0"/>
        <v xml:space="preserve">blanc d'œufs :6 </v>
      </c>
      <c r="H66" s="22"/>
      <c r="I66" s="2454"/>
      <c r="J66" s="1530">
        <v>4</v>
      </c>
      <c r="K66" s="15" t="s">
        <v>2151</v>
      </c>
      <c r="L66" s="15"/>
      <c r="M66" s="15"/>
      <c r="N66" s="15"/>
      <c r="O66" s="15"/>
      <c r="P66" s="1915"/>
      <c r="Q66" s="2455"/>
      <c r="S66" s="1914"/>
      <c r="T66" s="1363"/>
      <c r="U66" s="1364">
        <f t="shared" si="7"/>
        <v>0.6</v>
      </c>
      <c r="V66" s="1923">
        <v>0.06</v>
      </c>
      <c r="W66" s="19" t="s">
        <v>2186</v>
      </c>
      <c r="X66" s="1279">
        <f t="shared" si="1"/>
        <v>0.6</v>
      </c>
      <c r="Y66" s="1289">
        <f>(X66/X60)*Y60</f>
        <v>0.06</v>
      </c>
      <c r="Z66" s="18" t="str">
        <f>IF(ISBLANK(S66),"",(S66/X60)*Y60)</f>
        <v/>
      </c>
      <c r="AA66" s="594">
        <f t="shared" si="11"/>
        <v>0</v>
      </c>
      <c r="AB66" s="1365">
        <f>X66/X60</f>
        <v>0.06</v>
      </c>
      <c r="AC66" s="630"/>
      <c r="AD66" s="624">
        <f>AC60</f>
        <v>0</v>
      </c>
      <c r="AE66" s="624">
        <f t="shared" si="8"/>
        <v>0</v>
      </c>
      <c r="AF66" s="1366">
        <f t="shared" si="9"/>
        <v>1</v>
      </c>
      <c r="AH66" s="1290">
        <f>((X66/X60)*AJ60)</f>
        <v>0.6</v>
      </c>
      <c r="AI66" s="18">
        <f>IF(ISTEXT(S66),S66,IF(ISBLANK(S66),0,(S66/X60)*AJ60))</f>
        <v>0</v>
      </c>
      <c r="AJ66" s="17">
        <f t="shared" si="2"/>
        <v>0</v>
      </c>
      <c r="AK66" s="1291">
        <f t="shared" si="3"/>
        <v>0.6</v>
      </c>
      <c r="AL66" s="1292">
        <f>AN60*AB66</f>
        <v>0.6</v>
      </c>
      <c r="AM66" s="18">
        <f>IF(ISBLANK(S66),0,(S66/X60)*AN60)</f>
        <v>0</v>
      </c>
      <c r="AN66" s="594">
        <f t="shared" si="4"/>
        <v>0</v>
      </c>
      <c r="AO66" s="1292">
        <f t="shared" si="10"/>
        <v>0.6</v>
      </c>
      <c r="AP66" s="1293">
        <f t="shared" si="5"/>
        <v>0.6</v>
      </c>
      <c r="AQ66" s="18">
        <f>IF(ISBLANK(S66),0,(S66/X92)*AP93)</f>
        <v>0</v>
      </c>
      <c r="AR66" s="594">
        <f t="shared" si="6"/>
        <v>0</v>
      </c>
      <c r="AS66" s="649" t="s">
        <v>588</v>
      </c>
      <c r="AT66" s="648" t="s">
        <v>589</v>
      </c>
      <c r="AU66" s="648" t="s">
        <v>587</v>
      </c>
      <c r="AV66" s="648">
        <v>3</v>
      </c>
      <c r="AX66" s="1909" t="s">
        <v>758</v>
      </c>
      <c r="AY66" s="1910">
        <f>ROW()</f>
        <v>66</v>
      </c>
    </row>
    <row r="67" spans="1:51" ht="18.95" customHeight="1">
      <c r="A67" s="2609"/>
      <c r="B67" s="1437">
        <f>IF(D59=1,AI67,IF(D59=2,AM67,IF(D59=3,AQ67,IF(D59=4,AU67))))</f>
        <v>0</v>
      </c>
      <c r="C67" s="1438">
        <f>IF(D59=1,AJ67,IF(D59=2,AN67,IF(D59=3,AR67,IF(D59=4,AV67))))</f>
        <v>0</v>
      </c>
      <c r="D67" s="1510">
        <f>IF(D59=1,AH67,IF(D59=2,AL67,IF(D59=3,AP67,IF(D59=4,AT67))))</f>
        <v>0.3</v>
      </c>
      <c r="E67" s="1440" t="str">
        <f>IF(D59=1,"",IF(D67=F67,"",AE67))</f>
        <v/>
      </c>
      <c r="F67" s="1445" t="str">
        <f>IF(D59=1,"",IF(D59=2,AK67,IF(D59=3,AO67,IF(D59=4,AS67))))</f>
        <v/>
      </c>
      <c r="G67" s="22" t="str">
        <f t="shared" si="0"/>
        <v>œufs entiers :3</v>
      </c>
      <c r="H67" s="22"/>
      <c r="I67" s="2454"/>
      <c r="J67" s="1530">
        <v>5</v>
      </c>
      <c r="K67" s="15" t="s">
        <v>2152</v>
      </c>
      <c r="L67" s="15"/>
      <c r="M67" s="15"/>
      <c r="N67" s="15"/>
      <c r="O67" s="15"/>
      <c r="P67" s="1915"/>
      <c r="Q67" s="2455"/>
      <c r="S67" s="1914"/>
      <c r="T67" s="1363"/>
      <c r="U67" s="1364">
        <f t="shared" si="7"/>
        <v>0.3</v>
      </c>
      <c r="V67" s="1923">
        <v>0.03</v>
      </c>
      <c r="W67" s="19" t="s">
        <v>2187</v>
      </c>
      <c r="X67" s="1279">
        <f t="shared" si="1"/>
        <v>0.3</v>
      </c>
      <c r="Y67" s="1289">
        <f>(X67/X60)*Y60</f>
        <v>0.03</v>
      </c>
      <c r="Z67" s="18" t="str">
        <f>IF(ISBLANK(S67),"",(S67/X60)*Y60)</f>
        <v/>
      </c>
      <c r="AA67" s="594">
        <f t="shared" si="11"/>
        <v>0</v>
      </c>
      <c r="AB67" s="1365">
        <f>X67/X60</f>
        <v>0.03</v>
      </c>
      <c r="AC67" s="630"/>
      <c r="AD67" s="624">
        <f>AC60</f>
        <v>0</v>
      </c>
      <c r="AE67" s="624">
        <f t="shared" si="8"/>
        <v>0</v>
      </c>
      <c r="AF67" s="1366">
        <f t="shared" si="9"/>
        <v>1</v>
      </c>
      <c r="AH67" s="1290">
        <f>((X67/X60)*AJ60)</f>
        <v>0.3</v>
      </c>
      <c r="AI67" s="18">
        <f>IF(ISTEXT(S67),S67,IF(ISBLANK(S67),0,(S67/X60)*AJ60))</f>
        <v>0</v>
      </c>
      <c r="AJ67" s="17">
        <f t="shared" si="2"/>
        <v>0</v>
      </c>
      <c r="AK67" s="1291">
        <f t="shared" si="3"/>
        <v>0.3</v>
      </c>
      <c r="AL67" s="1292">
        <f>AN60*AB67</f>
        <v>0.3</v>
      </c>
      <c r="AM67" s="18">
        <f>IF(ISBLANK(S67),0,(S67/X60)*AN60)</f>
        <v>0</v>
      </c>
      <c r="AN67" s="594">
        <f t="shared" si="4"/>
        <v>0</v>
      </c>
      <c r="AO67" s="1292">
        <f t="shared" si="10"/>
        <v>0.3</v>
      </c>
      <c r="AP67" s="1293">
        <f t="shared" si="5"/>
        <v>0.3</v>
      </c>
      <c r="AQ67" s="18">
        <f>IF(ISBLANK(S67),0,(S67/X92)*AP93)</f>
        <v>0</v>
      </c>
      <c r="AR67" s="594">
        <f t="shared" si="6"/>
        <v>0</v>
      </c>
      <c r="AS67" s="649" t="s">
        <v>588</v>
      </c>
      <c r="AT67" s="648" t="s">
        <v>589</v>
      </c>
      <c r="AU67" s="648" t="s">
        <v>587</v>
      </c>
      <c r="AV67" s="648">
        <v>3</v>
      </c>
      <c r="AX67" s="1911" t="s">
        <v>758</v>
      </c>
      <c r="AY67" s="1912">
        <f>ROW()</f>
        <v>67</v>
      </c>
    </row>
    <row r="68" spans="1:51" ht="18.95" customHeight="1">
      <c r="A68" s="2609"/>
      <c r="B68" s="1437">
        <f>IF(D59=1,AI68,IF(D59=2,AM68,IF(D59=3,AQ68,IF(D59=4,AU68))))</f>
        <v>0</v>
      </c>
      <c r="C68" s="1438">
        <f>IF(D59=1,AJ68,IF(D59=2,AN68,IF(D59=3,AR68,IF(D59=4,AV68))))</f>
        <v>0</v>
      </c>
      <c r="D68" s="1510">
        <f>IF(D59=1,AH68,IF(D59=2,AL68,IF(D59=3,AP68,IF(D59=4,AT68))))</f>
        <v>0.16500000000000001</v>
      </c>
      <c r="E68" s="1440" t="str">
        <f>IF(D59=1,"",IF(D68=F68,"",AE68))</f>
        <v/>
      </c>
      <c r="F68" s="1445" t="str">
        <f>IF(D59=1,"",IF(D59=2,AK68,IF(D59=3,AO68,IF(D59=4,AS68))))</f>
        <v/>
      </c>
      <c r="G68" s="22" t="str">
        <f t="shared" si="0"/>
        <v>sel fin :1,65</v>
      </c>
      <c r="H68" s="22"/>
      <c r="I68" s="2454"/>
      <c r="J68" s="1530">
        <v>6</v>
      </c>
      <c r="K68" s="15" t="s">
        <v>2174</v>
      </c>
      <c r="L68" s="15"/>
      <c r="M68" s="15"/>
      <c r="N68" s="15"/>
      <c r="O68" s="15"/>
      <c r="P68" s="1915"/>
      <c r="Q68" s="2455"/>
      <c r="S68" s="1914"/>
      <c r="T68" s="1363"/>
      <c r="U68" s="1364">
        <f t="shared" si="7"/>
        <v>0.16500000000000001</v>
      </c>
      <c r="V68" s="1923">
        <v>1.6500000000000001E-2</v>
      </c>
      <c r="W68" s="19" t="s">
        <v>2188</v>
      </c>
      <c r="X68" s="1279">
        <f t="shared" si="1"/>
        <v>0.16500000000000001</v>
      </c>
      <c r="Y68" s="1289">
        <f>(X68/X60)*Y60</f>
        <v>1.6500000000000001E-2</v>
      </c>
      <c r="Z68" s="18" t="str">
        <f>IF(ISBLANK(S68),"",(S68/X60)*Y60)</f>
        <v/>
      </c>
      <c r="AA68" s="594">
        <f t="shared" si="11"/>
        <v>0</v>
      </c>
      <c r="AB68" s="1365">
        <f>X68/X60</f>
        <v>1.6500000000000001E-2</v>
      </c>
      <c r="AC68" s="630"/>
      <c r="AD68" s="624">
        <f>AC60</f>
        <v>0</v>
      </c>
      <c r="AE68" s="624">
        <f t="shared" si="8"/>
        <v>0</v>
      </c>
      <c r="AF68" s="1366">
        <f t="shared" si="9"/>
        <v>1</v>
      </c>
      <c r="AH68" s="1290">
        <f>((X68/X60)*AJ60)</f>
        <v>0.16500000000000001</v>
      </c>
      <c r="AI68" s="18">
        <f>IF(ISTEXT(S68),S68,IF(ISBLANK(S68),0,(S68/X60)*AJ60))</f>
        <v>0</v>
      </c>
      <c r="AJ68" s="17">
        <f t="shared" si="2"/>
        <v>0</v>
      </c>
      <c r="AK68" s="1291">
        <f t="shared" si="3"/>
        <v>0.16500000000000001</v>
      </c>
      <c r="AL68" s="1292">
        <f>AN60*AB68</f>
        <v>0.16500000000000001</v>
      </c>
      <c r="AM68" s="18">
        <f>IF(ISBLANK(S68),0,(S68/X60)*AN60)</f>
        <v>0</v>
      </c>
      <c r="AN68" s="594">
        <f t="shared" si="4"/>
        <v>0</v>
      </c>
      <c r="AO68" s="1292">
        <f t="shared" si="10"/>
        <v>0.16500000000000001</v>
      </c>
      <c r="AP68" s="1293">
        <f t="shared" si="5"/>
        <v>0.16500000000000001</v>
      </c>
      <c r="AQ68" s="18">
        <f>IF(ISBLANK(S68),0,(S68/X92)*AP93)</f>
        <v>0</v>
      </c>
      <c r="AR68" s="594">
        <f t="shared" si="6"/>
        <v>0</v>
      </c>
      <c r="AS68" s="649" t="s">
        <v>588</v>
      </c>
      <c r="AT68" s="648" t="s">
        <v>589</v>
      </c>
      <c r="AU68" s="648" t="s">
        <v>587</v>
      </c>
      <c r="AV68" s="648">
        <v>3</v>
      </c>
      <c r="AX68" s="1909" t="s">
        <v>758</v>
      </c>
      <c r="AY68" s="1910">
        <f>ROW()</f>
        <v>68</v>
      </c>
    </row>
    <row r="69" spans="1:51" ht="18.95" customHeight="1">
      <c r="A69" s="2609"/>
      <c r="B69" s="1437">
        <f>IF(D59=1,AI69,IF(D59=2,AM69,IF(D59=3,AQ69,IF(D59=4,AU69))))</f>
        <v>0</v>
      </c>
      <c r="C69" s="1438">
        <f>IF(D59=1,AJ69,IF(D59=2,AN69,IF(D59=3,AR69,IF(D59=4,AV69))))</f>
        <v>0</v>
      </c>
      <c r="D69" s="1510">
        <f>IF(D59=1,AH69,IF(D59=2,AL69,IF(D59=3,AP69,IF(D59=4,AT69))))</f>
        <v>0.1</v>
      </c>
      <c r="E69" s="1440" t="str">
        <f>IF(D59=1,"",IF(D69=F69,"",AE69))</f>
        <v/>
      </c>
      <c r="F69" s="1445" t="str">
        <f>IF(D59=1,"",IF(D59=2,AK69,IF(D59=3,AO69,IF(D59=4,AS69))))</f>
        <v/>
      </c>
      <c r="G69" s="22" t="str">
        <f t="shared" si="0"/>
        <v>porto :1</v>
      </c>
      <c r="H69" s="22"/>
      <c r="I69" s="2454"/>
      <c r="J69" s="1530">
        <v>7</v>
      </c>
      <c r="K69" s="15" t="s">
        <v>2175</v>
      </c>
      <c r="L69" s="15"/>
      <c r="M69" s="15"/>
      <c r="N69" s="15"/>
      <c r="O69" s="15"/>
      <c r="P69" s="1915"/>
      <c r="Q69" s="2455"/>
      <c r="S69" s="1914"/>
      <c r="T69" s="1363"/>
      <c r="U69" s="1364">
        <f t="shared" si="7"/>
        <v>0.1</v>
      </c>
      <c r="V69" s="1923">
        <v>0.01</v>
      </c>
      <c r="W69" s="19" t="s">
        <v>2189</v>
      </c>
      <c r="X69" s="1279">
        <f t="shared" si="1"/>
        <v>0.1</v>
      </c>
      <c r="Y69" s="1289">
        <f>(X69/X60)*Y60</f>
        <v>0.01</v>
      </c>
      <c r="Z69" s="18" t="str">
        <f>IF(ISBLANK(S69),"",(S69/X60)*Y60)</f>
        <v/>
      </c>
      <c r="AA69" s="594">
        <f t="shared" si="11"/>
        <v>0</v>
      </c>
      <c r="AB69" s="1365">
        <f>X69/X60</f>
        <v>0.01</v>
      </c>
      <c r="AC69" s="630"/>
      <c r="AD69" s="624">
        <f>AC60</f>
        <v>0</v>
      </c>
      <c r="AE69" s="624">
        <f t="shared" si="8"/>
        <v>0</v>
      </c>
      <c r="AF69" s="1366">
        <f t="shared" si="9"/>
        <v>1</v>
      </c>
      <c r="AH69" s="1290">
        <f>((X69/X60)*AJ60)</f>
        <v>0.1</v>
      </c>
      <c r="AI69" s="18">
        <f>IF(ISTEXT(S69),S69,IF(ISBLANK(S69),0,(S69/X60)*AJ60))</f>
        <v>0</v>
      </c>
      <c r="AJ69" s="17">
        <f t="shared" si="2"/>
        <v>0</v>
      </c>
      <c r="AK69" s="1291">
        <f t="shared" si="3"/>
        <v>0.1</v>
      </c>
      <c r="AL69" s="1292">
        <f>AN60*AB69</f>
        <v>0.1</v>
      </c>
      <c r="AM69" s="18">
        <f>IF(ISBLANK(S69),0,(S69/X60)*AN60)</f>
        <v>0</v>
      </c>
      <c r="AN69" s="594">
        <f t="shared" si="4"/>
        <v>0</v>
      </c>
      <c r="AO69" s="1292">
        <f t="shared" si="10"/>
        <v>0.1</v>
      </c>
      <c r="AP69" s="1293">
        <f t="shared" si="5"/>
        <v>0.1</v>
      </c>
      <c r="AQ69" s="18">
        <f>IF(ISBLANK(S69),0,(S69/X92)*AP93)</f>
        <v>0</v>
      </c>
      <c r="AR69" s="594">
        <f t="shared" si="6"/>
        <v>0</v>
      </c>
      <c r="AS69" s="649" t="s">
        <v>588</v>
      </c>
      <c r="AT69" s="648" t="s">
        <v>589</v>
      </c>
      <c r="AU69" s="648" t="s">
        <v>587</v>
      </c>
      <c r="AV69" s="648">
        <v>3</v>
      </c>
      <c r="AX69" s="1911" t="s">
        <v>758</v>
      </c>
      <c r="AY69" s="1912">
        <f>ROW()</f>
        <v>69</v>
      </c>
    </row>
    <row r="70" spans="1:51" ht="18.95" customHeight="1">
      <c r="A70" s="2609"/>
      <c r="B70" s="1437">
        <f>IF(D59=1,AI70,IF(D59=2,AM70,IF(D59=3,AQ70,IF(D59=4,AU70))))</f>
        <v>0</v>
      </c>
      <c r="C70" s="1438">
        <f>IF(D59=1,AJ70,IF(D59=2,AN70,IF(D59=3,AR70,IF(D59=4,AV70))))</f>
        <v>0</v>
      </c>
      <c r="D70" s="1510">
        <f>IF(D59=1,AH70,IF(D59=2,AL70,IF(D59=3,AP70,IF(D59=4,AT70))))</f>
        <v>0.1</v>
      </c>
      <c r="E70" s="1440" t="str">
        <f>IF(D59=1,"",IF(D70=F70,"",AE70))</f>
        <v/>
      </c>
      <c r="F70" s="1445" t="str">
        <f>IF(D59=1,"",IF(D59=2,AK70,IF(D59=3,AO70,IF(D59=4,AS70))))</f>
        <v/>
      </c>
      <c r="G70" s="22" t="str">
        <f t="shared" si="0"/>
        <v>amidon de mais ou fécule de pomme de terre : 1</v>
      </c>
      <c r="H70" s="22"/>
      <c r="I70" s="2454"/>
      <c r="J70" s="1530">
        <v>8</v>
      </c>
      <c r="K70" s="15" t="s">
        <v>2181</v>
      </c>
      <c r="L70" s="15"/>
      <c r="M70" s="15"/>
      <c r="N70" s="15"/>
      <c r="O70" s="15"/>
      <c r="P70" s="1915"/>
      <c r="Q70" s="2455"/>
      <c r="S70" s="1914"/>
      <c r="T70" s="1363"/>
      <c r="U70" s="1364">
        <f t="shared" si="7"/>
        <v>0.1</v>
      </c>
      <c r="V70" s="1923">
        <v>0.01</v>
      </c>
      <c r="W70" s="19" t="s">
        <v>2190</v>
      </c>
      <c r="X70" s="1279">
        <f t="shared" si="1"/>
        <v>0.1</v>
      </c>
      <c r="Y70" s="1289">
        <f>(X70/X60)*Y60</f>
        <v>0.01</v>
      </c>
      <c r="Z70" s="18" t="str">
        <f>IF(ISBLANK(S70),"",(S70/X60)*Y60)</f>
        <v/>
      </c>
      <c r="AA70" s="594">
        <f t="shared" si="11"/>
        <v>0</v>
      </c>
      <c r="AB70" s="1365">
        <f>X70/X60</f>
        <v>0.01</v>
      </c>
      <c r="AC70" s="630"/>
      <c r="AD70" s="624">
        <f>AC60</f>
        <v>0</v>
      </c>
      <c r="AE70" s="624">
        <f t="shared" si="8"/>
        <v>0</v>
      </c>
      <c r="AF70" s="1366">
        <f t="shared" si="9"/>
        <v>1</v>
      </c>
      <c r="AH70" s="1290">
        <f>((X70/X60)*AJ60)</f>
        <v>0.1</v>
      </c>
      <c r="AI70" s="18">
        <f>IF(ISTEXT(S70),S70,IF(ISBLANK(S70),0,(S70/X60)*AJ60))</f>
        <v>0</v>
      </c>
      <c r="AJ70" s="17">
        <f t="shared" si="2"/>
        <v>0</v>
      </c>
      <c r="AK70" s="1291">
        <f t="shared" si="3"/>
        <v>0.1</v>
      </c>
      <c r="AL70" s="1292">
        <f>AN60*AB70</f>
        <v>0.1</v>
      </c>
      <c r="AM70" s="18">
        <f>IF(ISBLANK(S70),0,(S70/X60)*AN60)</f>
        <v>0</v>
      </c>
      <c r="AN70" s="594">
        <f t="shared" si="4"/>
        <v>0</v>
      </c>
      <c r="AO70" s="1292">
        <f t="shared" si="10"/>
        <v>0.1</v>
      </c>
      <c r="AP70" s="1293">
        <f t="shared" si="5"/>
        <v>0.1</v>
      </c>
      <c r="AQ70" s="18">
        <f>IF(ISBLANK(S70),0,(S70/X92)*AP93)</f>
        <v>0</v>
      </c>
      <c r="AR70" s="594">
        <f t="shared" si="6"/>
        <v>0</v>
      </c>
      <c r="AS70" s="649" t="s">
        <v>588</v>
      </c>
      <c r="AT70" s="648" t="s">
        <v>589</v>
      </c>
      <c r="AU70" s="648" t="s">
        <v>587</v>
      </c>
      <c r="AV70" s="648">
        <v>3</v>
      </c>
      <c r="AX70" s="1909" t="s">
        <v>758</v>
      </c>
      <c r="AY70" s="1910">
        <f>ROW()</f>
        <v>70</v>
      </c>
    </row>
    <row r="71" spans="1:51" ht="18.95" customHeight="1">
      <c r="A71" s="2609"/>
      <c r="B71" s="1437">
        <f>IF(D59=1,AI71,IF(D59=2,AM71,IF(D59=3,AQ71,IF(D59=4,AU71))))</f>
        <v>0</v>
      </c>
      <c r="C71" s="1438">
        <f>IF(D59=1,AJ71,IF(D59=2,AN71,IF(D59=3,AR71,IF(D59=4,AV71))))</f>
        <v>0</v>
      </c>
      <c r="D71" s="1510">
        <f>IF(D59=1,AH71,IF(D59=2,AL71,IF(D59=3,AP71,IF(D59=4,AT71))))</f>
        <v>0.05</v>
      </c>
      <c r="E71" s="1440" t="str">
        <f>IF(D59=1,"",IF(D71=F71,"",AE71))</f>
        <v/>
      </c>
      <c r="F71" s="1445" t="str">
        <f>IF(D59=1,"",IF(D59=2,AK71,IF(D59=3,AO71,IF(D59=4,AS71))))</f>
        <v/>
      </c>
      <c r="G71" s="22" t="str">
        <f t="shared" si="0"/>
        <v>Grand Marnier ou fleur d'oranger : 0,5</v>
      </c>
      <c r="H71" s="22"/>
      <c r="I71" s="2454"/>
      <c r="J71" s="1530">
        <v>9</v>
      </c>
      <c r="K71" s="15" t="s">
        <v>2153</v>
      </c>
      <c r="L71" s="15"/>
      <c r="M71" s="15"/>
      <c r="N71" s="15"/>
      <c r="O71" s="15"/>
      <c r="P71" s="1915"/>
      <c r="Q71" s="2455"/>
      <c r="S71" s="1914"/>
      <c r="T71" s="1363"/>
      <c r="U71" s="1364">
        <f t="shared" si="7"/>
        <v>0.05</v>
      </c>
      <c r="V71" s="1923">
        <v>5.0000000000000001E-3</v>
      </c>
      <c r="W71" s="19" t="s">
        <v>2191</v>
      </c>
      <c r="X71" s="1279">
        <f t="shared" si="1"/>
        <v>0.05</v>
      </c>
      <c r="Y71" s="1289">
        <f>(X71/X60)*Y60</f>
        <v>5.0000000000000001E-3</v>
      </c>
      <c r="Z71" s="18" t="str">
        <f>IF(ISBLANK(S71),"",(S71/X60)*Y60)</f>
        <v/>
      </c>
      <c r="AA71" s="594">
        <f t="shared" si="11"/>
        <v>0</v>
      </c>
      <c r="AB71" s="1365">
        <f>X71/X60</f>
        <v>5.0000000000000001E-3</v>
      </c>
      <c r="AC71" s="630"/>
      <c r="AD71" s="624">
        <f>AC60</f>
        <v>0</v>
      </c>
      <c r="AE71" s="624">
        <f t="shared" si="8"/>
        <v>0</v>
      </c>
      <c r="AF71" s="1366">
        <f t="shared" si="9"/>
        <v>1</v>
      </c>
      <c r="AH71" s="1290">
        <f>((X71/X60)*AJ60)</f>
        <v>0.05</v>
      </c>
      <c r="AI71" s="18">
        <f>IF(ISTEXT(S71),S71,IF(ISBLANK(S71),0,(S71/X60)*AJ60))</f>
        <v>0</v>
      </c>
      <c r="AJ71" s="17">
        <f t="shared" si="2"/>
        <v>0</v>
      </c>
      <c r="AK71" s="1291">
        <f t="shared" si="3"/>
        <v>0.05</v>
      </c>
      <c r="AL71" s="1292">
        <f>AN60*AB71</f>
        <v>0.05</v>
      </c>
      <c r="AM71" s="18">
        <f>IF(ISBLANK(S71),0,(S71/X60)*AN60)</f>
        <v>0</v>
      </c>
      <c r="AN71" s="594">
        <f t="shared" si="4"/>
        <v>0</v>
      </c>
      <c r="AO71" s="1292">
        <f t="shared" si="10"/>
        <v>0.05</v>
      </c>
      <c r="AP71" s="1293">
        <f t="shared" si="5"/>
        <v>0.05</v>
      </c>
      <c r="AQ71" s="18">
        <f>IF(ISBLANK(S71),0,(S71/X92)*AP93)</f>
        <v>0</v>
      </c>
      <c r="AR71" s="594">
        <f t="shared" si="6"/>
        <v>0</v>
      </c>
      <c r="AS71" s="649" t="s">
        <v>588</v>
      </c>
      <c r="AT71" s="648" t="s">
        <v>589</v>
      </c>
      <c r="AU71" s="648" t="s">
        <v>587</v>
      </c>
      <c r="AV71" s="648">
        <v>3</v>
      </c>
      <c r="AX71" s="1911" t="s">
        <v>758</v>
      </c>
      <c r="AY71" s="1912">
        <f>ROW()</f>
        <v>71</v>
      </c>
    </row>
    <row r="72" spans="1:51" ht="18.95" customHeight="1">
      <c r="A72" s="2609"/>
      <c r="B72" s="1437">
        <f>IF(D59=1,AI72,IF(D59=2,AM72,IF(D59=3,AQ72,IF(D59=4,AU72))))</f>
        <v>0</v>
      </c>
      <c r="C72" s="1438">
        <f>IF(D59=1,AJ72,IF(D59=2,AN72,IF(D59=3,AR72,IF(D59=4,AV72))))</f>
        <v>0</v>
      </c>
      <c r="D72" s="1925">
        <f>IF(D59=1,AH72,IF(D59=2,AL72,IF(D59=3,AP72,IF(D59=4,AT72))))</f>
        <v>0.01</v>
      </c>
      <c r="E72" s="1440" t="str">
        <f>IF(D59=1,"",IF(D72=F72,"",AE72))</f>
        <v/>
      </c>
      <c r="F72" s="1445" t="str">
        <f>IF(D59=1,"",IF(D59=2,AK72,IF(D59=3,AO72,IF(D59=4,AS72))))</f>
        <v/>
      </c>
      <c r="G72" s="22" t="str">
        <f t="shared" si="0"/>
        <v>poivre blanc pulvérisé : 0,1</v>
      </c>
      <c r="H72" s="22"/>
      <c r="I72" s="2454"/>
      <c r="J72" s="1530">
        <v>10</v>
      </c>
      <c r="K72" s="15" t="s">
        <v>2176</v>
      </c>
      <c r="L72" s="15"/>
      <c r="M72" s="15"/>
      <c r="N72" s="15"/>
      <c r="O72" s="15"/>
      <c r="P72" s="1915"/>
      <c r="Q72" s="2455"/>
      <c r="S72" s="1914"/>
      <c r="T72" s="1363"/>
      <c r="U72" s="1364">
        <f t="shared" si="7"/>
        <v>0.01</v>
      </c>
      <c r="V72" s="1923">
        <v>1E-3</v>
      </c>
      <c r="W72" s="19" t="s">
        <v>2192</v>
      </c>
      <c r="X72" s="1279">
        <f t="shared" si="1"/>
        <v>0.01</v>
      </c>
      <c r="Y72" s="1289">
        <f>(X72/X60)*Y60</f>
        <v>1E-3</v>
      </c>
      <c r="Z72" s="18" t="str">
        <f>IF(ISBLANK(S72),"",(S72/X60)*Y60)</f>
        <v/>
      </c>
      <c r="AA72" s="594">
        <f t="shared" si="11"/>
        <v>0</v>
      </c>
      <c r="AB72" s="1365">
        <f>X72/X60</f>
        <v>1E-3</v>
      </c>
      <c r="AC72" s="630"/>
      <c r="AD72" s="624">
        <f>AC60</f>
        <v>0</v>
      </c>
      <c r="AE72" s="624">
        <f t="shared" si="8"/>
        <v>0</v>
      </c>
      <c r="AF72" s="1366">
        <f t="shared" si="9"/>
        <v>1</v>
      </c>
      <c r="AH72" s="1290">
        <f>((X72/X60)*AJ60)</f>
        <v>0.01</v>
      </c>
      <c r="AI72" s="18">
        <f>IF(ISTEXT(S72),S72,IF(ISBLANK(S72),0,(S72/X60)*AJ60))</f>
        <v>0</v>
      </c>
      <c r="AJ72" s="17">
        <f t="shared" si="2"/>
        <v>0</v>
      </c>
      <c r="AK72" s="1291">
        <f t="shared" si="3"/>
        <v>0.01</v>
      </c>
      <c r="AL72" s="1292">
        <f>AN60*AB72</f>
        <v>0.01</v>
      </c>
      <c r="AM72" s="18">
        <f>IF(ISBLANK(S72),0,(S72/X60)*AN60)</f>
        <v>0</v>
      </c>
      <c r="AN72" s="594">
        <f t="shared" si="4"/>
        <v>0</v>
      </c>
      <c r="AO72" s="1292">
        <f t="shared" si="10"/>
        <v>0.01</v>
      </c>
      <c r="AP72" s="1293">
        <f t="shared" si="5"/>
        <v>0.01</v>
      </c>
      <c r="AQ72" s="18">
        <f>IF(ISBLANK(S72),0,(S72/X92)*AP93)</f>
        <v>0</v>
      </c>
      <c r="AR72" s="594">
        <f t="shared" si="6"/>
        <v>0</v>
      </c>
      <c r="AS72" s="649" t="s">
        <v>588</v>
      </c>
      <c r="AT72" s="648" t="s">
        <v>589</v>
      </c>
      <c r="AU72" s="648" t="s">
        <v>587</v>
      </c>
      <c r="AV72" s="648">
        <v>3</v>
      </c>
      <c r="AX72" s="1909" t="s">
        <v>758</v>
      </c>
      <c r="AY72" s="1910">
        <f>ROW()</f>
        <v>72</v>
      </c>
    </row>
    <row r="73" spans="1:51" ht="18.95" customHeight="1">
      <c r="A73" s="2609"/>
      <c r="B73" s="1437">
        <f>IF(D59=1,AI73,IF(D59=2,AM73,IF(D59=3,AQ73,IF(D59=4,AU73))))</f>
        <v>0</v>
      </c>
      <c r="C73" s="1438">
        <f>IF(D59=1,AJ73,IF(D59=2,AN73,IF(D59=3,AR73,IF(D59=4,AV73))))</f>
        <v>0</v>
      </c>
      <c r="D73" s="1925">
        <f>IF(D59=1,AH73,IF(D59=2,AL73,IF(D59=3,AP73,IF(D59=4,AT73))))</f>
        <v>5.0000000000000001E-3</v>
      </c>
      <c r="E73" s="1440" t="str">
        <f>IF(D59=1,"",IF(D73=F73,"",AE73))</f>
        <v/>
      </c>
      <c r="F73" s="1445" t="str">
        <f>IF(D59=1,"",IF(D59=2,AK73,IF(D59=3,AO73,IF(D59=4,AS73))))</f>
        <v/>
      </c>
      <c r="G73" s="22" t="str">
        <f t="shared" si="0"/>
        <v>quatre épices : 0,05</v>
      </c>
      <c r="H73" s="22"/>
      <c r="I73" s="2454"/>
      <c r="J73" s="1530">
        <v>11</v>
      </c>
      <c r="K73" s="15" t="s">
        <v>2177</v>
      </c>
      <c r="L73" s="15"/>
      <c r="M73" s="15"/>
      <c r="N73" s="15"/>
      <c r="O73" s="15"/>
      <c r="P73" s="1915"/>
      <c r="Q73" s="2455"/>
      <c r="S73" s="1914"/>
      <c r="T73" s="1363"/>
      <c r="U73" s="1364">
        <f t="shared" si="7"/>
        <v>5.0000000000000001E-3</v>
      </c>
      <c r="V73" s="1923">
        <v>5.0000000000000001E-4</v>
      </c>
      <c r="W73" s="19" t="s">
        <v>2193</v>
      </c>
      <c r="X73" s="1279">
        <f t="shared" si="1"/>
        <v>5.0000000000000001E-3</v>
      </c>
      <c r="Y73" s="1289">
        <f>(X73/X60)*Y60</f>
        <v>5.0000000000000001E-4</v>
      </c>
      <c r="Z73" s="18" t="str">
        <f>IF(ISBLANK(S73),"",(S73/X60)*Y60)</f>
        <v/>
      </c>
      <c r="AA73" s="594">
        <f t="shared" si="11"/>
        <v>0</v>
      </c>
      <c r="AB73" s="1365">
        <f>X73/X60</f>
        <v>5.0000000000000001E-4</v>
      </c>
      <c r="AC73" s="630"/>
      <c r="AD73" s="624">
        <f>AC60</f>
        <v>0</v>
      </c>
      <c r="AE73" s="624">
        <f t="shared" si="8"/>
        <v>0</v>
      </c>
      <c r="AF73" s="1366">
        <f t="shared" si="9"/>
        <v>1</v>
      </c>
      <c r="AH73" s="1290">
        <f>((X73/X60)*AJ60)</f>
        <v>5.0000000000000001E-3</v>
      </c>
      <c r="AI73" s="18">
        <f>IF(ISTEXT(S73),S73,IF(ISBLANK(S73),0,(S73/X60)*AJ60))</f>
        <v>0</v>
      </c>
      <c r="AJ73" s="17">
        <f t="shared" si="2"/>
        <v>0</v>
      </c>
      <c r="AK73" s="1291">
        <f t="shared" si="3"/>
        <v>5.0000000000000001E-3</v>
      </c>
      <c r="AL73" s="1292">
        <f>AN60*AB73</f>
        <v>5.0000000000000001E-3</v>
      </c>
      <c r="AM73" s="18">
        <f>IF(ISBLANK(S73),0,(S73/X60)*AN60)</f>
        <v>0</v>
      </c>
      <c r="AN73" s="594">
        <f t="shared" si="4"/>
        <v>0</v>
      </c>
      <c r="AO73" s="1292">
        <f t="shared" si="10"/>
        <v>5.0000000000000001E-3</v>
      </c>
      <c r="AP73" s="1293">
        <f t="shared" si="5"/>
        <v>5.0000000000000001E-3</v>
      </c>
      <c r="AQ73" s="18">
        <f>IF(ISBLANK(S73),0,(S73/X92)*AP93)</f>
        <v>0</v>
      </c>
      <c r="AR73" s="594">
        <f t="shared" si="6"/>
        <v>0</v>
      </c>
      <c r="AS73" s="649" t="s">
        <v>588</v>
      </c>
      <c r="AT73" s="648" t="s">
        <v>589</v>
      </c>
      <c r="AU73" s="648" t="s">
        <v>587</v>
      </c>
      <c r="AV73" s="648">
        <v>3</v>
      </c>
      <c r="AX73" s="1911" t="s">
        <v>758</v>
      </c>
      <c r="AY73" s="1912">
        <f>ROW()</f>
        <v>73</v>
      </c>
    </row>
    <row r="74" spans="1:51" ht="18.95" customHeight="1">
      <c r="A74" s="2609"/>
      <c r="B74" s="1437">
        <f>IF(D59=1,AI74,IF(D59=2,AM74,IF(D59=3,AQ74,IF(D59=4,AU74))))</f>
        <v>0</v>
      </c>
      <c r="C74" s="1438">
        <f>IF(D59=1,AJ74,IF(D59=2,AN74,IF(D59=3,AR74,IF(D59=4,AV74))))</f>
        <v>0</v>
      </c>
      <c r="D74" s="1925">
        <f>IF(D59=1,AH74,IF(D59=2,AL74,IF(D59=3,AP74,IF(D59=4,AT74))))</f>
        <v>5.0000000000000001E-3</v>
      </c>
      <c r="E74" s="1440" t="str">
        <f>IF(D59=1,"",IF(D74=F74,"",AE74))</f>
        <v/>
      </c>
      <c r="F74" s="1445" t="str">
        <f>IF(D59=1,"",IF(D59=2,AK74,IF(D59=3,AO74,IF(D59=4,AS74))))</f>
        <v/>
      </c>
      <c r="G74" s="22" t="str">
        <f t="shared" si="0"/>
        <v xml:space="preserve">acide ascorbique : 0,05 - </v>
      </c>
      <c r="H74" s="22"/>
      <c r="I74" s="2454"/>
      <c r="J74" s="1530">
        <v>12</v>
      </c>
      <c r="K74" s="15" t="s">
        <v>2154</v>
      </c>
      <c r="L74" s="15"/>
      <c r="M74" s="15"/>
      <c r="N74" s="15"/>
      <c r="O74" s="15"/>
      <c r="P74" s="1915"/>
      <c r="Q74" s="2455"/>
      <c r="S74" s="1914"/>
      <c r="T74" s="1363"/>
      <c r="U74" s="1364">
        <f t="shared" si="7"/>
        <v>5.0000000000000001E-3</v>
      </c>
      <c r="V74" s="1923">
        <v>5.0000000000000001E-4</v>
      </c>
      <c r="W74" s="19" t="s">
        <v>2132</v>
      </c>
      <c r="X74" s="1279">
        <f t="shared" si="1"/>
        <v>5.0000000000000001E-3</v>
      </c>
      <c r="Y74" s="1289">
        <f>(X74/X60)*Y60</f>
        <v>5.0000000000000001E-4</v>
      </c>
      <c r="Z74" s="18" t="str">
        <f>IF(ISBLANK(S74),"",(S74/X60)*Y60)</f>
        <v/>
      </c>
      <c r="AA74" s="594">
        <f t="shared" si="11"/>
        <v>0</v>
      </c>
      <c r="AB74" s="1365">
        <f>X74/X60</f>
        <v>5.0000000000000001E-4</v>
      </c>
      <c r="AC74" s="630"/>
      <c r="AD74" s="624">
        <f>AC60</f>
        <v>0</v>
      </c>
      <c r="AE74" s="624">
        <f t="shared" si="8"/>
        <v>0</v>
      </c>
      <c r="AF74" s="1366">
        <f t="shared" si="9"/>
        <v>1</v>
      </c>
      <c r="AH74" s="1290">
        <f>((X74/X60)*AJ60)</f>
        <v>5.0000000000000001E-3</v>
      </c>
      <c r="AI74" s="18">
        <f>IF(ISTEXT(S74),S74,IF(ISBLANK(S74),0,(S74/X60)*AJ60))</f>
        <v>0</v>
      </c>
      <c r="AJ74" s="17">
        <f t="shared" si="2"/>
        <v>0</v>
      </c>
      <c r="AK74" s="1291">
        <f t="shared" si="3"/>
        <v>5.0000000000000001E-3</v>
      </c>
      <c r="AL74" s="1292">
        <f>AN60*AB74</f>
        <v>5.0000000000000001E-3</v>
      </c>
      <c r="AM74" s="18">
        <f>IF(ISBLANK(S74),0,(S74/X60)*AN60)</f>
        <v>0</v>
      </c>
      <c r="AN74" s="594">
        <f t="shared" si="4"/>
        <v>0</v>
      </c>
      <c r="AO74" s="1292">
        <f t="shared" si="10"/>
        <v>5.0000000000000001E-3</v>
      </c>
      <c r="AP74" s="1293">
        <f t="shared" si="5"/>
        <v>5.0000000000000001E-3</v>
      </c>
      <c r="AQ74" s="18">
        <f>IF(ISBLANK(S74),0,(S74/X92)*AP93)</f>
        <v>0</v>
      </c>
      <c r="AR74" s="594">
        <f t="shared" si="6"/>
        <v>0</v>
      </c>
      <c r="AS74" s="649" t="s">
        <v>588</v>
      </c>
      <c r="AT74" s="648" t="s">
        <v>589</v>
      </c>
      <c r="AU74" s="648" t="s">
        <v>587</v>
      </c>
      <c r="AV74" s="648">
        <v>3</v>
      </c>
      <c r="AX74" s="1909" t="s">
        <v>758</v>
      </c>
      <c r="AY74" s="1910">
        <f>ROW()</f>
        <v>74</v>
      </c>
    </row>
    <row r="75" spans="1:51" ht="18.95" customHeight="1">
      <c r="A75" s="2609"/>
      <c r="B75" s="1437">
        <f>IF(D59=1,AI75,IF(D59=2,AM75,IF(D59=3,AQ75,IF(D59=4,AU75))))</f>
        <v>0</v>
      </c>
      <c r="C75" s="1438">
        <f>IF(D59=1,AJ75,IF(D59=2,AN75,IF(D59=3,AR75,IF(D59=4,AV75))))</f>
        <v>0</v>
      </c>
      <c r="D75" s="1925">
        <f>IF(D59=1,AH75,IF(D59=2,AL75,IF(D59=3,AP75,IF(D59=4,AT75))))</f>
        <v>2E-3</v>
      </c>
      <c r="E75" s="1440" t="str">
        <f>IF(D59=1,"",IF(D75=F75,"",AE75))</f>
        <v/>
      </c>
      <c r="F75" s="1445" t="str">
        <f>IF(D59=1,"",IF(D59=2,AK75,IF(D59=3,AO75,IF(D59=4,AS75))))</f>
        <v/>
      </c>
      <c r="G75" s="22" t="str">
        <f t="shared" si="0"/>
        <v>coriandre moulue : 0,02 -</v>
      </c>
      <c r="H75" s="22"/>
      <c r="I75" s="2454"/>
      <c r="J75" s="1530">
        <v>13</v>
      </c>
      <c r="K75" s="15" t="s">
        <v>2155</v>
      </c>
      <c r="L75" s="15"/>
      <c r="M75" s="15"/>
      <c r="N75" s="15"/>
      <c r="O75" s="15"/>
      <c r="P75" s="1915"/>
      <c r="Q75" s="2455"/>
      <c r="S75" s="1914"/>
      <c r="T75" s="1363"/>
      <c r="U75" s="1364">
        <f t="shared" si="7"/>
        <v>2E-3</v>
      </c>
      <c r="V75" s="1923">
        <v>2.0000000000000001E-4</v>
      </c>
      <c r="W75" s="19" t="s">
        <v>2133</v>
      </c>
      <c r="X75" s="1279">
        <f t="shared" si="1"/>
        <v>2E-3</v>
      </c>
      <c r="Y75" s="1289">
        <f>(X75/X60)*Y60</f>
        <v>2.0000000000000001E-4</v>
      </c>
      <c r="Z75" s="18" t="str">
        <f>IF(ISBLANK(S75),"",(S75/X60)*Y60)</f>
        <v/>
      </c>
      <c r="AA75" s="594">
        <f t="shared" si="11"/>
        <v>0</v>
      </c>
      <c r="AB75" s="1365">
        <f>X75/X60</f>
        <v>2.0000000000000001E-4</v>
      </c>
      <c r="AC75" s="630"/>
      <c r="AD75" s="624">
        <f>AC60</f>
        <v>0</v>
      </c>
      <c r="AE75" s="624">
        <f t="shared" si="8"/>
        <v>0</v>
      </c>
      <c r="AF75" s="1366">
        <f t="shared" si="9"/>
        <v>1</v>
      </c>
      <c r="AH75" s="1290">
        <f>((X75/X60)*AJ60)</f>
        <v>2E-3</v>
      </c>
      <c r="AI75" s="18">
        <f>IF(ISTEXT(S75),S75,IF(ISBLANK(S75),0,(S75/X60)*AJ60))</f>
        <v>0</v>
      </c>
      <c r="AJ75" s="17">
        <f t="shared" si="2"/>
        <v>0</v>
      </c>
      <c r="AK75" s="1291">
        <f t="shared" si="3"/>
        <v>2E-3</v>
      </c>
      <c r="AL75" s="1292">
        <f>AN60*AB75</f>
        <v>2E-3</v>
      </c>
      <c r="AM75" s="18">
        <f>IF(ISBLANK(S75),0,(S75/X60)*AN60)</f>
        <v>0</v>
      </c>
      <c r="AN75" s="594">
        <f t="shared" si="4"/>
        <v>0</v>
      </c>
      <c r="AO75" s="1292">
        <f t="shared" si="10"/>
        <v>2E-3</v>
      </c>
      <c r="AP75" s="1293">
        <f t="shared" si="5"/>
        <v>2E-3</v>
      </c>
      <c r="AQ75" s="18">
        <f>IF(ISBLANK(S75),0,(S75/X92)*AP93)</f>
        <v>0</v>
      </c>
      <c r="AR75" s="594">
        <f t="shared" si="6"/>
        <v>0</v>
      </c>
      <c r="AS75" s="649" t="s">
        <v>588</v>
      </c>
      <c r="AT75" s="648" t="s">
        <v>589</v>
      </c>
      <c r="AU75" s="648" t="s">
        <v>587</v>
      </c>
      <c r="AV75" s="648">
        <v>3</v>
      </c>
      <c r="AX75" s="1911" t="s">
        <v>758</v>
      </c>
      <c r="AY75" s="1912">
        <f>ROW()</f>
        <v>75</v>
      </c>
    </row>
    <row r="76" spans="1:51" ht="18.95" customHeight="1">
      <c r="A76" s="2609"/>
      <c r="B76" s="1437">
        <f>IF(D59=1,AI76,IF(D59=2,AM76,IF(D59=3,AQ76,IF(D59=4,AU76))))</f>
        <v>0</v>
      </c>
      <c r="C76" s="1438">
        <f>IF(D59=1,AJ76,IF(D59=2,AN76,IF(D59=3,AR76,IF(D59=4,AV76))))</f>
        <v>0</v>
      </c>
      <c r="D76" s="1925">
        <f>IF(D59=1,AH76,IF(D59=2,AL76,IF(D59=3,AP76,IF(D59=4,AT76))))</f>
        <v>1E-3</v>
      </c>
      <c r="E76" s="1440" t="str">
        <f>IF(D59=1,"",IF(D76=F76,"",AE76))</f>
        <v/>
      </c>
      <c r="F76" s="1445" t="str">
        <f>IF(D59=1,"",IF(D59=2,AK76,IF(D59=3,AO76,IF(D59=4,AS76))))</f>
        <v/>
      </c>
      <c r="G76" s="22" t="str">
        <f t="shared" si="0"/>
        <v xml:space="preserve">laurier en poudre :0,01 - </v>
      </c>
      <c r="H76" s="22"/>
      <c r="I76" s="2454"/>
      <c r="J76" s="1530">
        <v>14</v>
      </c>
      <c r="K76" s="15" t="s">
        <v>2156</v>
      </c>
      <c r="L76" s="15"/>
      <c r="M76" s="15"/>
      <c r="N76" s="15"/>
      <c r="O76" s="15"/>
      <c r="P76" s="1915"/>
      <c r="Q76" s="2455"/>
      <c r="S76" s="1914"/>
      <c r="T76" s="1363"/>
      <c r="U76" s="1364">
        <f t="shared" si="7"/>
        <v>1E-3</v>
      </c>
      <c r="V76" s="1923">
        <v>1E-4</v>
      </c>
      <c r="W76" s="19" t="s">
        <v>2134</v>
      </c>
      <c r="X76" s="1279">
        <f t="shared" si="1"/>
        <v>1E-3</v>
      </c>
      <c r="Y76" s="1289">
        <f>(X76/X60)*Y60</f>
        <v>1E-4</v>
      </c>
      <c r="Z76" s="18" t="str">
        <f>IF(ISBLANK(S76),"",(S76/X60)*Y60)</f>
        <v/>
      </c>
      <c r="AA76" s="594">
        <f t="shared" si="11"/>
        <v>0</v>
      </c>
      <c r="AB76" s="1365">
        <f>X76/X60</f>
        <v>1E-4</v>
      </c>
      <c r="AC76" s="630"/>
      <c r="AD76" s="624">
        <f>AC60</f>
        <v>0</v>
      </c>
      <c r="AE76" s="624">
        <f t="shared" si="8"/>
        <v>0</v>
      </c>
      <c r="AF76" s="1366">
        <f t="shared" si="9"/>
        <v>1</v>
      </c>
      <c r="AH76" s="1290">
        <f>((X76/X60)*AJ60)</f>
        <v>1E-3</v>
      </c>
      <c r="AI76" s="18">
        <f>IF(ISTEXT(S76),S76,IF(ISBLANK(S76),0,(S76/X60)*AJ60))</f>
        <v>0</v>
      </c>
      <c r="AJ76" s="17">
        <f t="shared" si="2"/>
        <v>0</v>
      </c>
      <c r="AK76" s="1291">
        <f t="shared" si="3"/>
        <v>1E-3</v>
      </c>
      <c r="AL76" s="1292">
        <f>AN60*AB76</f>
        <v>1E-3</v>
      </c>
      <c r="AM76" s="18">
        <f>IF(ISBLANK(S76),0,(S76/X60)*AN60)</f>
        <v>0</v>
      </c>
      <c r="AN76" s="594">
        <f t="shared" si="4"/>
        <v>0</v>
      </c>
      <c r="AO76" s="1292">
        <f t="shared" si="10"/>
        <v>1E-3</v>
      </c>
      <c r="AP76" s="1293">
        <f t="shared" si="5"/>
        <v>1E-3</v>
      </c>
      <c r="AQ76" s="18">
        <f>IF(ISBLANK(S76),0,(S76/X92)*AP93)</f>
        <v>0</v>
      </c>
      <c r="AR76" s="594">
        <f t="shared" si="6"/>
        <v>0</v>
      </c>
      <c r="AS76" s="649" t="s">
        <v>588</v>
      </c>
      <c r="AT76" s="648" t="s">
        <v>589</v>
      </c>
      <c r="AU76" s="648" t="s">
        <v>587</v>
      </c>
      <c r="AV76" s="648">
        <v>3</v>
      </c>
      <c r="AX76" s="1909" t="s">
        <v>758</v>
      </c>
      <c r="AY76" s="1910">
        <f>ROW()</f>
        <v>76</v>
      </c>
    </row>
    <row r="77" spans="1:51" ht="18.95" customHeight="1">
      <c r="A77" s="2609"/>
      <c r="B77" s="1437">
        <f>IF(D59=1,AI77,IF(D59=2,AM77,IF(D59=3,AQ77,IF(D59=4,AU77))))</f>
        <v>0</v>
      </c>
      <c r="C77" s="1438">
        <f>IF(D59=1,AJ77,IF(D59=2,AN77,IF(D59=3,AR77,IF(D59=4,AV77))))</f>
        <v>0</v>
      </c>
      <c r="D77" s="1925">
        <f>IF(D59=1,AH77,IF(D59=2,AL77,IF(D59=3,AP77,IF(D59=4,AT77))))</f>
        <v>1E-3</v>
      </c>
      <c r="E77" s="1440" t="str">
        <f>IF(D59=1,"",IF(D77=F77,"",AE77))</f>
        <v/>
      </c>
      <c r="F77" s="1445" t="str">
        <f>IF(D59=1,"",IF(D59=2,AK77,IF(D59=3,AO77,IF(D59=4,AS77))))</f>
        <v/>
      </c>
      <c r="G77" s="22" t="str">
        <f t="shared" si="0"/>
        <v xml:space="preserve">piment doux :0,01 - </v>
      </c>
      <c r="H77" s="22"/>
      <c r="I77" s="2454"/>
      <c r="J77" s="1530">
        <v>15</v>
      </c>
      <c r="K77" s="15" t="s">
        <v>2180</v>
      </c>
      <c r="L77" s="15"/>
      <c r="M77" s="15"/>
      <c r="N77" s="15"/>
      <c r="O77" s="15"/>
      <c r="P77" s="1915"/>
      <c r="Q77" s="2455"/>
      <c r="S77" s="1914"/>
      <c r="T77" s="1363"/>
      <c r="U77" s="1364">
        <f t="shared" si="7"/>
        <v>1E-3</v>
      </c>
      <c r="V77" s="1923">
        <v>1E-4</v>
      </c>
      <c r="W77" s="19" t="s">
        <v>2135</v>
      </c>
      <c r="X77" s="1279">
        <f t="shared" si="1"/>
        <v>1E-3</v>
      </c>
      <c r="Y77" s="1289">
        <f>(X77/X60)*Y60</f>
        <v>1E-4</v>
      </c>
      <c r="Z77" s="18" t="str">
        <f>IF(ISBLANK(S77),"",(S77/X60)*Y60)</f>
        <v/>
      </c>
      <c r="AA77" s="594">
        <f t="shared" si="11"/>
        <v>0</v>
      </c>
      <c r="AB77" s="1365">
        <f>X77/X60</f>
        <v>1E-4</v>
      </c>
      <c r="AC77" s="630"/>
      <c r="AD77" s="624">
        <f>AC60</f>
        <v>0</v>
      </c>
      <c r="AE77" s="624">
        <f t="shared" si="8"/>
        <v>0</v>
      </c>
      <c r="AF77" s="1366">
        <f t="shared" si="9"/>
        <v>1</v>
      </c>
      <c r="AH77" s="1290">
        <f>((X77/X60)*AJ60)</f>
        <v>1E-3</v>
      </c>
      <c r="AI77" s="18">
        <f>IF(ISTEXT(S77),S77,IF(ISBLANK(S77),0,(S77/X60)*AJ60))</f>
        <v>0</v>
      </c>
      <c r="AJ77" s="17">
        <f t="shared" si="2"/>
        <v>0</v>
      </c>
      <c r="AK77" s="1291">
        <f t="shared" si="3"/>
        <v>1E-3</v>
      </c>
      <c r="AL77" s="1292">
        <f>AN60*AB77</f>
        <v>1E-3</v>
      </c>
      <c r="AM77" s="18">
        <f>IF(ISBLANK(S77),0,(S77/X60)*AN60)</f>
        <v>0</v>
      </c>
      <c r="AN77" s="594">
        <f t="shared" si="4"/>
        <v>0</v>
      </c>
      <c r="AO77" s="1292">
        <f t="shared" si="10"/>
        <v>1E-3</v>
      </c>
      <c r="AP77" s="1293">
        <f t="shared" si="5"/>
        <v>1E-3</v>
      </c>
      <c r="AQ77" s="18">
        <f>IF(ISBLANK(S77),0,(S77/X92)*AP93)</f>
        <v>0</v>
      </c>
      <c r="AR77" s="594">
        <f t="shared" si="6"/>
        <v>0</v>
      </c>
      <c r="AS77" s="649" t="s">
        <v>588</v>
      </c>
      <c r="AT77" s="648" t="s">
        <v>589</v>
      </c>
      <c r="AU77" s="648" t="s">
        <v>587</v>
      </c>
      <c r="AV77" s="648">
        <v>3</v>
      </c>
      <c r="AX77" s="1911" t="s">
        <v>758</v>
      </c>
      <c r="AY77" s="1912">
        <f>ROW()</f>
        <v>77</v>
      </c>
    </row>
    <row r="78" spans="1:51" ht="18.95" customHeight="1">
      <c r="A78" s="2609"/>
      <c r="B78" s="1437">
        <f>IF(D59=1,AI78,IF(D59=2,AM78,IF(D59=3,AQ78,IF(D59=4,AU78))))</f>
        <v>0</v>
      </c>
      <c r="C78" s="1438">
        <f>IF(D59=1,AJ78,IF(D59=2,AN78,IF(D59=3,AR78,IF(D59=4,AV78))))</f>
        <v>0</v>
      </c>
      <c r="D78" s="1925">
        <f>IF(D59=1,AH78,IF(D59=2,AL78,IF(D59=3,AP78,IF(D59=4,AT78))))</f>
        <v>1E-3</v>
      </c>
      <c r="E78" s="1440" t="str">
        <f>IF(D59=1,"",IF(D78=F78,"",AE78))</f>
        <v/>
      </c>
      <c r="F78" s="1445" t="str">
        <f>IF(D59=1,"",IF(D59=2,AK78,IF(D59=3,AO78,IF(D59=4,AS78))))</f>
        <v/>
      </c>
      <c r="G78" s="22" t="str">
        <f t="shared" si="0"/>
        <v xml:space="preserve">gingembre en poudre :0,01 – </v>
      </c>
      <c r="H78" s="22"/>
      <c r="I78" s="2454"/>
      <c r="J78" s="1530">
        <v>16</v>
      </c>
      <c r="K78" s="15" t="s">
        <v>2157</v>
      </c>
      <c r="L78" s="15"/>
      <c r="M78" s="15"/>
      <c r="N78" s="15"/>
      <c r="O78" s="15"/>
      <c r="P78" s="1915"/>
      <c r="Q78" s="2455"/>
      <c r="S78" s="1914"/>
      <c r="T78" s="1363"/>
      <c r="U78" s="1364">
        <f t="shared" si="7"/>
        <v>1E-3</v>
      </c>
      <c r="V78" s="1923">
        <v>1E-4</v>
      </c>
      <c r="W78" s="19" t="s">
        <v>2136</v>
      </c>
      <c r="X78" s="1279">
        <f t="shared" si="1"/>
        <v>1E-3</v>
      </c>
      <c r="Y78" s="1289">
        <f>(X78/X60)*Y60</f>
        <v>1E-4</v>
      </c>
      <c r="Z78" s="18" t="str">
        <f>IF(ISBLANK(S78),"",(S78/X60)*Y60)</f>
        <v/>
      </c>
      <c r="AA78" s="594">
        <f t="shared" si="11"/>
        <v>0</v>
      </c>
      <c r="AB78" s="1365">
        <f>X78/X60</f>
        <v>1E-4</v>
      </c>
      <c r="AC78" s="630"/>
      <c r="AD78" s="624">
        <f>AC60</f>
        <v>0</v>
      </c>
      <c r="AE78" s="624">
        <f t="shared" si="8"/>
        <v>0</v>
      </c>
      <c r="AF78" s="1366">
        <f t="shared" si="9"/>
        <v>1</v>
      </c>
      <c r="AH78" s="1290">
        <f>((X78/X60)*AJ60)</f>
        <v>1E-3</v>
      </c>
      <c r="AI78" s="18">
        <f>IF(ISTEXT(S78),S78,IF(ISBLANK(S78),0,(S78/X60)*AJ60))</f>
        <v>0</v>
      </c>
      <c r="AJ78" s="17">
        <f t="shared" si="2"/>
        <v>0</v>
      </c>
      <c r="AK78" s="1291">
        <f t="shared" si="3"/>
        <v>1E-3</v>
      </c>
      <c r="AL78" s="1292">
        <f>AN60*AB78</f>
        <v>1E-3</v>
      </c>
      <c r="AM78" s="18">
        <f>IF(ISBLANK(S78),0,(S78/X60)*AN60)</f>
        <v>0</v>
      </c>
      <c r="AN78" s="594">
        <f t="shared" si="4"/>
        <v>0</v>
      </c>
      <c r="AO78" s="1292">
        <f t="shared" si="10"/>
        <v>1E-3</v>
      </c>
      <c r="AP78" s="1293">
        <f t="shared" si="5"/>
        <v>1E-3</v>
      </c>
      <c r="AQ78" s="18">
        <f>IF(ISBLANK(S78),0,(S78/X92)*AP93)</f>
        <v>0</v>
      </c>
      <c r="AR78" s="594">
        <f t="shared" si="6"/>
        <v>0</v>
      </c>
      <c r="AS78" s="649" t="s">
        <v>588</v>
      </c>
      <c r="AT78" s="648" t="s">
        <v>589</v>
      </c>
      <c r="AU78" s="648" t="s">
        <v>587</v>
      </c>
      <c r="AV78" s="648">
        <v>3</v>
      </c>
      <c r="AX78" s="1909" t="s">
        <v>758</v>
      </c>
      <c r="AY78" s="1910">
        <f>ROW()</f>
        <v>78</v>
      </c>
    </row>
    <row r="79" spans="1:51" ht="18.95" customHeight="1">
      <c r="A79" s="2609"/>
      <c r="B79" s="1437">
        <f>IF(D59=1,AI79,IF(D59=2,AM79,IF(D59=3,AQ79,IF(D59=4,AU79))))</f>
        <v>0</v>
      </c>
      <c r="C79" s="1438">
        <f>IF(D59=1,AJ79,IF(D59=2,AN79,IF(D59=3,AR79,IF(D59=4,AV79))))</f>
        <v>0</v>
      </c>
      <c r="D79" s="1510">
        <f>IF(D59=1,AH79,IF(D59=2,AL79,IF(D59=3,AP79,IF(D59=4,AT79))))</f>
        <v>0</v>
      </c>
      <c r="E79" s="1440" t="str">
        <f>IF(D59=1,"",IF(D79=F79,"",AE79))</f>
        <v/>
      </c>
      <c r="F79" s="1445" t="str">
        <f>IF(D59=1,"",IF(D59=2,AK79,IF(D59=3,AO79,IF(D59=4,AS79))))</f>
        <v/>
      </c>
      <c r="G79" s="22" t="str">
        <f t="shared" si="0"/>
        <v>Menus de porc</v>
      </c>
      <c r="H79" s="22"/>
      <c r="I79" s="2454"/>
      <c r="J79" s="1530">
        <v>17</v>
      </c>
      <c r="K79" s="15" t="s">
        <v>2158</v>
      </c>
      <c r="L79" s="15"/>
      <c r="M79" s="15"/>
      <c r="N79" s="15"/>
      <c r="O79" s="15"/>
      <c r="P79" s="1915"/>
      <c r="Q79" s="2455"/>
      <c r="S79" s="1914"/>
      <c r="T79" s="1363"/>
      <c r="U79" s="1364">
        <f t="shared" si="7"/>
        <v>0</v>
      </c>
      <c r="V79" s="1923"/>
      <c r="W79" s="19" t="s">
        <v>2137</v>
      </c>
      <c r="X79" s="1279">
        <f t="shared" si="1"/>
        <v>0</v>
      </c>
      <c r="Y79" s="1289">
        <f>(X79/X60)*Y60</f>
        <v>0</v>
      </c>
      <c r="Z79" s="18" t="str">
        <f>IF(ISBLANK(S79),"",(S79/X60)*Y60)</f>
        <v/>
      </c>
      <c r="AA79" s="594">
        <f t="shared" si="11"/>
        <v>0</v>
      </c>
      <c r="AB79" s="1365">
        <f>X79/X60</f>
        <v>0</v>
      </c>
      <c r="AC79" s="630"/>
      <c r="AD79" s="624">
        <f>AC60</f>
        <v>0</v>
      </c>
      <c r="AE79" s="624">
        <f t="shared" si="8"/>
        <v>0</v>
      </c>
      <c r="AF79" s="1366">
        <f t="shared" si="9"/>
        <v>1</v>
      </c>
      <c r="AH79" s="1290">
        <f>((X79/X60)*AJ60)</f>
        <v>0</v>
      </c>
      <c r="AI79" s="18">
        <f>IF(ISTEXT(S79),S79,IF(ISBLANK(S79),0,(S79/X60)*AJ60))</f>
        <v>0</v>
      </c>
      <c r="AJ79" s="17">
        <f t="shared" si="2"/>
        <v>0</v>
      </c>
      <c r="AK79" s="1291">
        <f t="shared" si="3"/>
        <v>0</v>
      </c>
      <c r="AL79" s="1292">
        <f>AN60*AB79</f>
        <v>0</v>
      </c>
      <c r="AM79" s="18">
        <f>IF(ISBLANK(S79),0,(S79/X60)*AN60)</f>
        <v>0</v>
      </c>
      <c r="AN79" s="594">
        <f t="shared" si="4"/>
        <v>0</v>
      </c>
      <c r="AO79" s="1292">
        <f t="shared" si="10"/>
        <v>0</v>
      </c>
      <c r="AP79" s="1293">
        <f t="shared" si="5"/>
        <v>0</v>
      </c>
      <c r="AQ79" s="18">
        <f>IF(ISBLANK(S79),0,(S79/X92)*AP93)</f>
        <v>0</v>
      </c>
      <c r="AR79" s="594">
        <f t="shared" si="6"/>
        <v>0</v>
      </c>
      <c r="AS79" s="649" t="s">
        <v>588</v>
      </c>
      <c r="AT79" s="648" t="s">
        <v>589</v>
      </c>
      <c r="AU79" s="648" t="s">
        <v>587</v>
      </c>
      <c r="AV79" s="648">
        <v>3</v>
      </c>
      <c r="AX79" s="1911" t="s">
        <v>758</v>
      </c>
      <c r="AY79" s="1912">
        <f>ROW()</f>
        <v>79</v>
      </c>
    </row>
    <row r="80" spans="1:51" ht="18.95" customHeight="1">
      <c r="A80" s="2609"/>
      <c r="B80" s="1437">
        <f>IF(D59=1,AI80,IF(D59=2,AM80,IF(D59=3,AQ80,IF(D59=4,AU80))))</f>
        <v>0</v>
      </c>
      <c r="C80" s="1438">
        <f>IF(D59=1,AJ80,IF(D59=2,AN80,IF(D59=3,AR80,IF(D59=4,AV80))))</f>
        <v>0</v>
      </c>
      <c r="D80" s="1510">
        <f>IF(D59=1,AH80,IF(D59=2,AL80,IF(D59=3,AP80,IF(D59=4,AT80))))</f>
        <v>0</v>
      </c>
      <c r="E80" s="1440" t="str">
        <f>IF(D59=1,"",IF(D80=F80,"",AE80))</f>
        <v/>
      </c>
      <c r="F80" s="1445" t="str">
        <f>IF(D59=1,"",IF(D59=2,AK80,IF(D59=3,AO80,IF(D59=4,AS80))))</f>
        <v/>
      </c>
      <c r="G80" s="1927" t="str">
        <f t="shared" si="0"/>
        <v>Préparation du lait aromatisé</v>
      </c>
      <c r="H80" s="1927"/>
      <c r="I80" s="2454"/>
      <c r="J80" s="1530">
        <v>18</v>
      </c>
      <c r="K80" s="15" t="s">
        <v>2178</v>
      </c>
      <c r="L80" s="15"/>
      <c r="M80" s="15"/>
      <c r="N80" s="15"/>
      <c r="O80" s="15"/>
      <c r="P80" s="1915"/>
      <c r="Q80" s="2455"/>
      <c r="S80" s="1914"/>
      <c r="T80" s="1363"/>
      <c r="U80" s="1364"/>
      <c r="V80" s="1923"/>
      <c r="W80" s="19" t="s">
        <v>2138</v>
      </c>
      <c r="X80" s="1279">
        <f t="shared" si="1"/>
        <v>0</v>
      </c>
      <c r="Y80" s="1289">
        <f>(X80/X60)*Y60</f>
        <v>0</v>
      </c>
      <c r="Z80" s="18" t="str">
        <f>IF(ISBLANK(S80),"",(S80/X60)*Y60)</f>
        <v/>
      </c>
      <c r="AA80" s="594">
        <f t="shared" si="11"/>
        <v>0</v>
      </c>
      <c r="AB80" s="1365">
        <f>X80/X60</f>
        <v>0</v>
      </c>
      <c r="AC80" s="630"/>
      <c r="AD80" s="624">
        <f>AC60</f>
        <v>0</v>
      </c>
      <c r="AE80" s="624">
        <f t="shared" si="8"/>
        <v>0</v>
      </c>
      <c r="AF80" s="1366">
        <f t="shared" si="9"/>
        <v>1</v>
      </c>
      <c r="AH80" s="1290">
        <f>((X80/X60)*AJ60)</f>
        <v>0</v>
      </c>
      <c r="AI80" s="18">
        <f>IF(ISTEXT(S80),S80,IF(ISBLANK(S80),0,(S80/X60)*AJ60))</f>
        <v>0</v>
      </c>
      <c r="AJ80" s="17">
        <f t="shared" si="2"/>
        <v>0</v>
      </c>
      <c r="AK80" s="1291">
        <f t="shared" si="3"/>
        <v>0</v>
      </c>
      <c r="AL80" s="1292">
        <f>AN60*AB80</f>
        <v>0</v>
      </c>
      <c r="AM80" s="18">
        <f>IF(ISBLANK(S80),0,(S80/X60)*AN60)</f>
        <v>0</v>
      </c>
      <c r="AN80" s="594">
        <f t="shared" si="4"/>
        <v>0</v>
      </c>
      <c r="AO80" s="1292">
        <f t="shared" si="10"/>
        <v>0</v>
      </c>
      <c r="AP80" s="1293">
        <f t="shared" si="5"/>
        <v>0</v>
      </c>
      <c r="AQ80" s="18">
        <f>IF(ISBLANK(S80),0,(S80/X92)*AP93)</f>
        <v>0</v>
      </c>
      <c r="AR80" s="594">
        <f t="shared" si="6"/>
        <v>0</v>
      </c>
      <c r="AS80" s="649" t="s">
        <v>588</v>
      </c>
      <c r="AT80" s="648" t="s">
        <v>589</v>
      </c>
      <c r="AU80" s="648" t="s">
        <v>587</v>
      </c>
      <c r="AV80" s="648">
        <v>3</v>
      </c>
      <c r="AX80" s="1909" t="s">
        <v>758</v>
      </c>
      <c r="AY80" s="1910">
        <f>ROW()</f>
        <v>80</v>
      </c>
    </row>
    <row r="81" spans="1:51" ht="18.95" customHeight="1">
      <c r="A81" s="2609"/>
      <c r="B81" s="1437">
        <f>IF(D59=1,AI81,IF(D59=2,AM81,IF(D59=3,AQ81,IF(D59=4,AU81))))</f>
        <v>0</v>
      </c>
      <c r="C81" s="1438">
        <f>IF(D59=1,AJ81,IF(D59=2,AN81,IF(D59=3,AR81,IF(D59=4,AV81))))</f>
        <v>0</v>
      </c>
      <c r="D81" s="1510">
        <f>IF(D59=1,AH81,IF(D59=2,AL81,IF(D59=3,AP81,IF(D59=4,AT81))))</f>
        <v>0</v>
      </c>
      <c r="E81" s="1440" t="str">
        <f>IF(D59=1,"",IF(D81=F81,"",AE81))</f>
        <v/>
      </c>
      <c r="F81" s="1445" t="str">
        <f>IF(D59=1,"",IF(D59=2,AK81,IF(D59=3,AO81,IF(D59=4,AS81))))</f>
        <v/>
      </c>
      <c r="G81" s="22" t="str">
        <f t="shared" si="0"/>
        <v xml:space="preserve">Ingrédients : </v>
      </c>
      <c r="H81" s="22"/>
      <c r="I81" s="2454"/>
      <c r="J81" s="1530">
        <v>19</v>
      </c>
      <c r="K81" s="15" t="s">
        <v>2159</v>
      </c>
      <c r="L81" s="15"/>
      <c r="M81" s="15"/>
      <c r="N81" s="15"/>
      <c r="O81" s="15"/>
      <c r="P81" s="1915"/>
      <c r="Q81" s="2455"/>
      <c r="S81" s="1914"/>
      <c r="T81" s="1363"/>
      <c r="U81" s="1364"/>
      <c r="V81" s="1924">
        <v>0</v>
      </c>
      <c r="W81" s="19" t="s">
        <v>2139</v>
      </c>
      <c r="X81" s="1279">
        <f t="shared" si="1"/>
        <v>0</v>
      </c>
      <c r="Y81" s="1289">
        <f>(X81/X60)*Y60</f>
        <v>0</v>
      </c>
      <c r="Z81" s="18" t="str">
        <f>IF(ISBLANK(S81),"",(S81/X60)*Y60)</f>
        <v/>
      </c>
      <c r="AA81" s="594">
        <f t="shared" si="11"/>
        <v>0</v>
      </c>
      <c r="AB81" s="1365">
        <f>X81/X60</f>
        <v>0</v>
      </c>
      <c r="AC81" s="630"/>
      <c r="AD81" s="624">
        <f>AC60</f>
        <v>0</v>
      </c>
      <c r="AE81" s="624">
        <f t="shared" si="8"/>
        <v>0</v>
      </c>
      <c r="AF81" s="1366">
        <f t="shared" si="9"/>
        <v>1</v>
      </c>
      <c r="AH81" s="1290">
        <f>((X81/X60)*AJ60)</f>
        <v>0</v>
      </c>
      <c r="AI81" s="18">
        <f>IF(ISTEXT(S81),S81,IF(ISBLANK(S81),0,(S81/X60)*AJ60))</f>
        <v>0</v>
      </c>
      <c r="AJ81" s="17">
        <f t="shared" si="2"/>
        <v>0</v>
      </c>
      <c r="AK81" s="1291">
        <f t="shared" si="3"/>
        <v>0</v>
      </c>
      <c r="AL81" s="1292">
        <f>AN60*AB81</f>
        <v>0</v>
      </c>
      <c r="AM81" s="18">
        <f>IF(ISBLANK(S81),0,(S81/X60)*AN60)</f>
        <v>0</v>
      </c>
      <c r="AN81" s="594">
        <f t="shared" si="4"/>
        <v>0</v>
      </c>
      <c r="AO81" s="1292">
        <f t="shared" si="10"/>
        <v>0</v>
      </c>
      <c r="AP81" s="1293">
        <f t="shared" si="5"/>
        <v>0</v>
      </c>
      <c r="AQ81" s="18">
        <f>IF(ISBLANK(S81),0,(S81/X92)*AP93)</f>
        <v>0</v>
      </c>
      <c r="AR81" s="594">
        <f t="shared" si="6"/>
        <v>0</v>
      </c>
      <c r="AS81" s="649" t="s">
        <v>588</v>
      </c>
      <c r="AT81" s="648" t="s">
        <v>589</v>
      </c>
      <c r="AU81" s="648" t="s">
        <v>587</v>
      </c>
      <c r="AV81" s="648">
        <v>3</v>
      </c>
      <c r="AX81" s="1911" t="s">
        <v>758</v>
      </c>
      <c r="AY81" s="1912">
        <f>ROW()</f>
        <v>81</v>
      </c>
    </row>
    <row r="82" spans="1:51" ht="18.95" customHeight="1">
      <c r="A82" s="2609"/>
      <c r="B82" s="1437">
        <f>IF(D59=1,AI82,IF(D59=2,AM82,IF(D59=3,AQ82,IF(D59=4,AU82))))</f>
        <v>0</v>
      </c>
      <c r="C82" s="1438">
        <f>IF(D59=1,AJ82,IF(D59=2,AN82,IF(D59=3,AR82,IF(D59=4,AV82))))</f>
        <v>0</v>
      </c>
      <c r="D82" s="1510">
        <f>IF(D59=1,AH82,IF(D59=2,AL82,IF(D59=3,AP82,IF(D59=4,AT82))))</f>
        <v>1</v>
      </c>
      <c r="E82" s="1440" t="str">
        <f>IF(D59=1,"",IF(D82=F82,"",AE82))</f>
        <v/>
      </c>
      <c r="F82" s="1445" t="str">
        <f>IF(D59=1,"",IF(D59=2,AK82,IF(D59=3,AO82,IF(D59=4,AS82))))</f>
        <v/>
      </c>
      <c r="G82" s="22" t="str">
        <f t="shared" si="0"/>
        <v xml:space="preserve">lait : 1000 g - </v>
      </c>
      <c r="H82" s="22"/>
      <c r="I82" s="2454"/>
      <c r="J82" s="1530">
        <v>20</v>
      </c>
      <c r="K82" s="15" t="s">
        <v>2179</v>
      </c>
      <c r="L82" s="15"/>
      <c r="M82" s="15"/>
      <c r="N82" s="15"/>
      <c r="O82" s="15"/>
      <c r="P82" s="1915"/>
      <c r="Q82" s="2455"/>
      <c r="S82" s="1914"/>
      <c r="T82" s="1363"/>
      <c r="U82" s="1364">
        <v>1</v>
      </c>
      <c r="V82" s="1924">
        <v>0</v>
      </c>
      <c r="W82" s="19" t="s">
        <v>2140</v>
      </c>
      <c r="X82" s="1279">
        <f t="shared" si="1"/>
        <v>1</v>
      </c>
      <c r="Y82" s="1289">
        <f>(X82/X60)*Y60</f>
        <v>0.1</v>
      </c>
      <c r="Z82" s="18" t="str">
        <f>IF(ISBLANK(S82),"",(S82/X60)*Y60)</f>
        <v/>
      </c>
      <c r="AA82" s="594">
        <f t="shared" si="11"/>
        <v>0</v>
      </c>
      <c r="AB82" s="1365">
        <f>X82/X60</f>
        <v>0.1</v>
      </c>
      <c r="AC82" s="630"/>
      <c r="AD82" s="624">
        <f>AC60</f>
        <v>0</v>
      </c>
      <c r="AE82" s="624">
        <f t="shared" si="8"/>
        <v>0</v>
      </c>
      <c r="AF82" s="1366">
        <f t="shared" si="9"/>
        <v>1</v>
      </c>
      <c r="AH82" s="1290">
        <f>((X82/X60)*AJ60)</f>
        <v>1</v>
      </c>
      <c r="AI82" s="18">
        <f>IF(ISTEXT(S82),S82,IF(ISBLANK(S82),0,(S82/X60)*AJ60))</f>
        <v>0</v>
      </c>
      <c r="AJ82" s="17">
        <f t="shared" si="2"/>
        <v>0</v>
      </c>
      <c r="AK82" s="1291">
        <f t="shared" si="3"/>
        <v>1</v>
      </c>
      <c r="AL82" s="1292">
        <f>AN60*AB82</f>
        <v>1</v>
      </c>
      <c r="AM82" s="18">
        <f>IF(ISBLANK(S82),0,(S82/X60)*AN60)</f>
        <v>0</v>
      </c>
      <c r="AN82" s="594">
        <f t="shared" si="4"/>
        <v>0</v>
      </c>
      <c r="AO82" s="1292">
        <f t="shared" si="10"/>
        <v>1</v>
      </c>
      <c r="AP82" s="1293">
        <f t="shared" si="5"/>
        <v>1</v>
      </c>
      <c r="AQ82" s="18">
        <f>IF(ISBLANK(S82),0,(S82/X92)*AP93)</f>
        <v>0</v>
      </c>
      <c r="AR82" s="594">
        <f t="shared" si="6"/>
        <v>0</v>
      </c>
      <c r="AS82" s="649" t="s">
        <v>588</v>
      </c>
      <c r="AT82" s="648" t="s">
        <v>589</v>
      </c>
      <c r="AU82" s="648" t="s">
        <v>587</v>
      </c>
      <c r="AV82" s="648">
        <v>3</v>
      </c>
      <c r="AX82" s="1909" t="s">
        <v>758</v>
      </c>
      <c r="AY82" s="1910">
        <f>ROW()</f>
        <v>82</v>
      </c>
    </row>
    <row r="83" spans="1:51" ht="18.95" customHeight="1">
      <c r="A83" s="2609"/>
      <c r="B83" s="1437">
        <f>IF(D59=1,AI83,IF(D59=2,AM83,IF(D59=3,AQ83,IF(D59=4,AU83))))</f>
        <v>0</v>
      </c>
      <c r="C83" s="1438">
        <f>IF(D59=1,AJ83,IF(D59=2,AN83,IF(D59=3,AR83,IF(D59=4,AV83))))</f>
        <v>0</v>
      </c>
      <c r="D83" s="1510">
        <f>IF(D59=1,AH83,IF(D59=2,AL83,IF(D59=3,AP83,IF(D59=4,AT83))))</f>
        <v>0.05</v>
      </c>
      <c r="E83" s="1440" t="str">
        <f>IF(D59=1,"",IF(D83=F83,"",AE83))</f>
        <v/>
      </c>
      <c r="F83" s="1445" t="str">
        <f>IF(D59=1,"",IF(D59=2,AK83,IF(D59=3,AO83,IF(D59=4,AS83))))</f>
        <v/>
      </c>
      <c r="G83" s="22" t="str">
        <f t="shared" si="0"/>
        <v xml:space="preserve">oignon : 50 g - </v>
      </c>
      <c r="H83" s="22"/>
      <c r="I83" s="2454"/>
      <c r="J83" s="1530">
        <v>21</v>
      </c>
      <c r="K83" s="15" t="s">
        <v>2160</v>
      </c>
      <c r="L83" s="15"/>
      <c r="M83" s="15"/>
      <c r="N83" s="15"/>
      <c r="O83" s="15"/>
      <c r="P83" s="1915"/>
      <c r="Q83" s="2455"/>
      <c r="S83" s="1914"/>
      <c r="T83" s="1363"/>
      <c r="U83" s="1364">
        <v>0.05</v>
      </c>
      <c r="V83" s="1924">
        <v>0</v>
      </c>
      <c r="W83" s="19" t="s">
        <v>2141</v>
      </c>
      <c r="X83" s="1279">
        <f t="shared" si="1"/>
        <v>0.05</v>
      </c>
      <c r="Y83" s="1289">
        <f>(X83/X60)*Y60</f>
        <v>5.0000000000000001E-3</v>
      </c>
      <c r="Z83" s="18" t="str">
        <f>IF(ISBLANK(S83),"",(S83/X60)*Y60)</f>
        <v/>
      </c>
      <c r="AA83" s="594">
        <f t="shared" si="11"/>
        <v>0</v>
      </c>
      <c r="AB83" s="1365">
        <f>X83/X60</f>
        <v>5.0000000000000001E-3</v>
      </c>
      <c r="AC83" s="630"/>
      <c r="AD83" s="624">
        <f>AC60</f>
        <v>0</v>
      </c>
      <c r="AE83" s="624">
        <f t="shared" si="8"/>
        <v>0</v>
      </c>
      <c r="AF83" s="1366">
        <f t="shared" si="9"/>
        <v>1</v>
      </c>
      <c r="AH83" s="1290">
        <f>((X83/X60)*AJ60)</f>
        <v>0.05</v>
      </c>
      <c r="AI83" s="18">
        <f>IF(ISTEXT(S83),S83,IF(ISBLANK(S83),0,(S83/X60)*AJ60))</f>
        <v>0</v>
      </c>
      <c r="AJ83" s="17">
        <f t="shared" si="2"/>
        <v>0</v>
      </c>
      <c r="AK83" s="1291">
        <f t="shared" si="3"/>
        <v>0.05</v>
      </c>
      <c r="AL83" s="1292">
        <f>AN60*AB83</f>
        <v>0.05</v>
      </c>
      <c r="AM83" s="18">
        <f>IF(ISBLANK(S83),0,(S83/X60)*AN60)</f>
        <v>0</v>
      </c>
      <c r="AN83" s="594">
        <f t="shared" si="4"/>
        <v>0</v>
      </c>
      <c r="AO83" s="1292">
        <f t="shared" si="10"/>
        <v>0.05</v>
      </c>
      <c r="AP83" s="1293">
        <f t="shared" si="5"/>
        <v>0.05</v>
      </c>
      <c r="AQ83" s="18">
        <f>IF(ISBLANK(S83),0,(S83/X92)*AP93)</f>
        <v>0</v>
      </c>
      <c r="AR83" s="594">
        <f t="shared" si="6"/>
        <v>0</v>
      </c>
      <c r="AS83" s="649" t="s">
        <v>588</v>
      </c>
      <c r="AT83" s="648" t="s">
        <v>589</v>
      </c>
      <c r="AU83" s="648" t="s">
        <v>587</v>
      </c>
      <c r="AV83" s="648">
        <v>3</v>
      </c>
      <c r="AX83" s="1911" t="s">
        <v>758</v>
      </c>
      <c r="AY83" s="1912">
        <f>ROW()</f>
        <v>83</v>
      </c>
    </row>
    <row r="84" spans="1:51" ht="18.95" customHeight="1">
      <c r="A84" s="2609"/>
      <c r="B84" s="1437">
        <f>IF(D59=1,AI84,IF(D59=2,AM84,IF(D59=3,AQ84,IF(D59=4,AU84))))</f>
        <v>0</v>
      </c>
      <c r="C84" s="1438">
        <f>IF(D59=1,AJ84,IF(D59=2,AN84,IF(D59=3,AR84,IF(D59=4,AV84))))</f>
        <v>0</v>
      </c>
      <c r="D84" s="1510">
        <f>IF(D59=1,AH84,IF(D59=2,AL84,IF(D59=3,AP84,IF(D59=4,AT84))))</f>
        <v>0.05</v>
      </c>
      <c r="E84" s="1440" t="str">
        <f>IF(D59=1,"",IF(D84=F84,"",AE84))</f>
        <v/>
      </c>
      <c r="F84" s="1445" t="str">
        <f>IF(D59=1,"",IF(D59=2,AK84,IF(D59=3,AO84,IF(D59=4,AS84))))</f>
        <v/>
      </c>
      <c r="G84" s="22" t="str">
        <f t="shared" si="0"/>
        <v xml:space="preserve">carotte : 50 g - </v>
      </c>
      <c r="H84" s="22"/>
      <c r="I84" s="2454"/>
      <c r="J84" s="1530">
        <v>22</v>
      </c>
      <c r="K84" s="15" t="s">
        <v>2161</v>
      </c>
      <c r="L84" s="15"/>
      <c r="M84" s="15"/>
      <c r="N84" s="15"/>
      <c r="O84" s="15"/>
      <c r="P84" s="1915"/>
      <c r="Q84" s="2455"/>
      <c r="S84" s="1914"/>
      <c r="T84" s="1363"/>
      <c r="U84" s="1364">
        <v>0.05</v>
      </c>
      <c r="V84" s="1924">
        <v>0</v>
      </c>
      <c r="W84" s="19" t="s">
        <v>2142</v>
      </c>
      <c r="X84" s="1279">
        <f t="shared" si="1"/>
        <v>0.05</v>
      </c>
      <c r="Y84" s="1289">
        <f>(X84/X60)*Y60</f>
        <v>5.0000000000000001E-3</v>
      </c>
      <c r="Z84" s="18" t="str">
        <f>IF(ISBLANK(S84),"",(S84/X60)*Y60)</f>
        <v/>
      </c>
      <c r="AA84" s="594">
        <f t="shared" si="11"/>
        <v>0</v>
      </c>
      <c r="AB84" s="1365">
        <f>X84/X60</f>
        <v>5.0000000000000001E-3</v>
      </c>
      <c r="AC84" s="630"/>
      <c r="AD84" s="624">
        <f>AC60</f>
        <v>0</v>
      </c>
      <c r="AE84" s="624">
        <f t="shared" si="8"/>
        <v>0</v>
      </c>
      <c r="AF84" s="1366">
        <f t="shared" si="9"/>
        <v>1</v>
      </c>
      <c r="AH84" s="1290">
        <f>((X84/X60)*AJ60)</f>
        <v>0.05</v>
      </c>
      <c r="AI84" s="18">
        <f>IF(ISTEXT(S84),S84,IF(ISBLANK(S84),0,(S84/X60)*AJ60))</f>
        <v>0</v>
      </c>
      <c r="AJ84" s="17">
        <f t="shared" si="2"/>
        <v>0</v>
      </c>
      <c r="AK84" s="1291">
        <f t="shared" si="3"/>
        <v>0.05</v>
      </c>
      <c r="AL84" s="1292">
        <f>AN60*AB84</f>
        <v>0.05</v>
      </c>
      <c r="AM84" s="18">
        <f>IF(ISBLANK(S84),0,(S84/X60)*AN60)</f>
        <v>0</v>
      </c>
      <c r="AN84" s="594">
        <f t="shared" si="4"/>
        <v>0</v>
      </c>
      <c r="AO84" s="1292">
        <f t="shared" si="10"/>
        <v>0.05</v>
      </c>
      <c r="AP84" s="1293">
        <f t="shared" si="5"/>
        <v>0.05</v>
      </c>
      <c r="AQ84" s="18">
        <f>IF(ISBLANK(S84),0,(S84/X92)*AP93)</f>
        <v>0</v>
      </c>
      <c r="AR84" s="594">
        <f t="shared" si="6"/>
        <v>0</v>
      </c>
      <c r="AS84" s="649" t="s">
        <v>588</v>
      </c>
      <c r="AT84" s="648" t="s">
        <v>589</v>
      </c>
      <c r="AU84" s="648" t="s">
        <v>587</v>
      </c>
      <c r="AV84" s="648">
        <v>3</v>
      </c>
      <c r="AX84" s="1909" t="s">
        <v>758</v>
      </c>
      <c r="AY84" s="1910">
        <f>ROW()</f>
        <v>84</v>
      </c>
    </row>
    <row r="85" spans="1:51" ht="18.95" customHeight="1">
      <c r="A85" s="2609"/>
      <c r="B85" s="1437">
        <f>IF(D59=1,AI85,IF(D59=2,AM85,IF(D59=3,AQ85,IF(D59=4,AU85))))</f>
        <v>0</v>
      </c>
      <c r="C85" s="1438">
        <f>IF(D59=1,AJ85,IF(D59=2,AN85,IF(D59=3,AR85,IF(D59=4,AV85))))</f>
        <v>0</v>
      </c>
      <c r="D85" s="1510">
        <f>IF(D59=1,AH85,IF(D59=2,AL85,IF(D59=3,AP85,IF(D59=4,AT85))))</f>
        <v>0.05</v>
      </c>
      <c r="E85" s="1440" t="str">
        <f>IF(D59=1,"",IF(D85=F85,"",AE85))</f>
        <v/>
      </c>
      <c r="F85" s="1445" t="str">
        <f>IF(D59=1,"",IF(D59=2,AK85,IF(D59=3,AO85,IF(D59=4,AS85))))</f>
        <v/>
      </c>
      <c r="G85" s="22" t="str">
        <f t="shared" si="0"/>
        <v xml:space="preserve">orange : 50 g - </v>
      </c>
      <c r="H85" s="22"/>
      <c r="I85" s="2454"/>
      <c r="J85" s="1530">
        <v>23</v>
      </c>
      <c r="K85" s="15" t="s">
        <v>2162</v>
      </c>
      <c r="L85" s="15"/>
      <c r="M85" s="15"/>
      <c r="N85" s="15"/>
      <c r="O85" s="15"/>
      <c r="P85" s="1915"/>
      <c r="Q85" s="2455"/>
      <c r="S85" s="1914"/>
      <c r="T85" s="1363"/>
      <c r="U85" s="1364">
        <v>0.05</v>
      </c>
      <c r="V85" s="1924">
        <v>0</v>
      </c>
      <c r="W85" s="19" t="s">
        <v>2143</v>
      </c>
      <c r="X85" s="1279">
        <f t="shared" si="1"/>
        <v>0.05</v>
      </c>
      <c r="Y85" s="1289">
        <f>(X85/X60)*Y60</f>
        <v>5.0000000000000001E-3</v>
      </c>
      <c r="Z85" s="18" t="str">
        <f>IF(ISBLANK(S85),"",(S85/X60)*Y60)</f>
        <v/>
      </c>
      <c r="AA85" s="594">
        <f t="shared" si="11"/>
        <v>0</v>
      </c>
      <c r="AB85" s="1365">
        <f>X85/X60</f>
        <v>5.0000000000000001E-3</v>
      </c>
      <c r="AC85" s="630"/>
      <c r="AD85" s="624">
        <f>AC60</f>
        <v>0</v>
      </c>
      <c r="AE85" s="624">
        <f t="shared" si="8"/>
        <v>0</v>
      </c>
      <c r="AF85" s="1366">
        <f t="shared" si="9"/>
        <v>1</v>
      </c>
      <c r="AH85" s="1290">
        <f>((X85/X60)*AJ60)</f>
        <v>0.05</v>
      </c>
      <c r="AI85" s="18">
        <f>IF(ISTEXT(S85),S85,IF(ISBLANK(S85),0,(S85/X60)*AJ60))</f>
        <v>0</v>
      </c>
      <c r="AJ85" s="17">
        <f t="shared" si="2"/>
        <v>0</v>
      </c>
      <c r="AK85" s="1291">
        <f t="shared" si="3"/>
        <v>0.05</v>
      </c>
      <c r="AL85" s="1292">
        <f>AN60*AB85</f>
        <v>0.05</v>
      </c>
      <c r="AM85" s="18">
        <f>IF(ISBLANK(S85),0,(S85/X60)*AN60)</f>
        <v>0</v>
      </c>
      <c r="AN85" s="594">
        <f t="shared" si="4"/>
        <v>0</v>
      </c>
      <c r="AO85" s="1292">
        <f t="shared" si="10"/>
        <v>0.05</v>
      </c>
      <c r="AP85" s="1293">
        <f t="shared" si="5"/>
        <v>0.05</v>
      </c>
      <c r="AQ85" s="18">
        <f>IF(ISBLANK(S85),0,(S85/X92)*AP93)</f>
        <v>0</v>
      </c>
      <c r="AR85" s="594">
        <f t="shared" si="6"/>
        <v>0</v>
      </c>
      <c r="AS85" s="649" t="s">
        <v>588</v>
      </c>
      <c r="AT85" s="648" t="s">
        <v>589</v>
      </c>
      <c r="AU85" s="648" t="s">
        <v>587</v>
      </c>
      <c r="AV85" s="648">
        <v>3</v>
      </c>
      <c r="AX85" s="1911" t="s">
        <v>758</v>
      </c>
      <c r="AY85" s="1912">
        <f>ROW()</f>
        <v>85</v>
      </c>
    </row>
    <row r="86" spans="1:51" ht="18.95" customHeight="1">
      <c r="A86" s="2609"/>
      <c r="B86" s="1437">
        <f>IF(D59=1,AI86,IF(D59=2,AM86,IF(D59=3,AQ86,IF(D59=4,AU86))))</f>
        <v>0</v>
      </c>
      <c r="C86" s="1438">
        <f>IF(D59=1,AJ86,IF(D59=2,AN86,IF(D59=3,AR86,IF(D59=4,AV86))))</f>
        <v>0</v>
      </c>
      <c r="D86" s="1510">
        <f>IF(D59=1,AH86,IF(D59=2,AL86,IF(D59=3,AP86,IF(D59=4,AT86))))</f>
        <v>0.05</v>
      </c>
      <c r="E86" s="1440" t="str">
        <f>IF(D59=1,"",IF(D86=F86,"",AE86))</f>
        <v/>
      </c>
      <c r="F86" s="1445" t="str">
        <f>IF(D59=1,"",IF(D59=2,AK86,IF(D59=3,AO86,IF(D59=4,AS86))))</f>
        <v/>
      </c>
      <c r="G86" s="22" t="str">
        <f t="shared" si="0"/>
        <v xml:space="preserve">céleri boule : 50 g - </v>
      </c>
      <c r="H86" s="22"/>
      <c r="I86" s="2454"/>
      <c r="J86" s="1530">
        <v>24</v>
      </c>
      <c r="K86" s="15" t="s">
        <v>2163</v>
      </c>
      <c r="L86" s="15"/>
      <c r="M86" s="15"/>
      <c r="N86" s="15"/>
      <c r="O86" s="15"/>
      <c r="P86" s="1915"/>
      <c r="Q86" s="2455"/>
      <c r="S86" s="1914"/>
      <c r="T86" s="1363"/>
      <c r="U86" s="1364">
        <v>0.05</v>
      </c>
      <c r="V86" s="1924">
        <v>0</v>
      </c>
      <c r="W86" s="19" t="s">
        <v>2144</v>
      </c>
      <c r="X86" s="1279">
        <f t="shared" si="1"/>
        <v>0.05</v>
      </c>
      <c r="Y86" s="1289">
        <f>(X86/X60)*Y60</f>
        <v>5.0000000000000001E-3</v>
      </c>
      <c r="Z86" s="18" t="str">
        <f>IF(ISBLANK(S86),"",(S86/X60)*Y60)</f>
        <v/>
      </c>
      <c r="AA86" s="594">
        <f t="shared" si="11"/>
        <v>0</v>
      </c>
      <c r="AB86" s="1365">
        <f>X86/X60</f>
        <v>5.0000000000000001E-3</v>
      </c>
      <c r="AC86" s="630"/>
      <c r="AD86" s="624">
        <f>AC60</f>
        <v>0</v>
      </c>
      <c r="AE86" s="624">
        <f t="shared" si="8"/>
        <v>0</v>
      </c>
      <c r="AF86" s="1366">
        <f t="shared" si="9"/>
        <v>1</v>
      </c>
      <c r="AH86" s="1290">
        <f>((X86/X60)*AJ60)</f>
        <v>0.05</v>
      </c>
      <c r="AI86" s="18">
        <f>IF(ISTEXT(S86),S86,IF(ISBLANK(S86),0,(S86/X60)*AJ60))</f>
        <v>0</v>
      </c>
      <c r="AJ86" s="17">
        <f t="shared" si="2"/>
        <v>0</v>
      </c>
      <c r="AK86" s="1291">
        <f t="shared" si="3"/>
        <v>0.05</v>
      </c>
      <c r="AL86" s="1292">
        <f>AN60*AB86</f>
        <v>0.05</v>
      </c>
      <c r="AM86" s="18">
        <f>IF(ISBLANK(S86),0,(S86/X60)*AN60)</f>
        <v>0</v>
      </c>
      <c r="AN86" s="594">
        <f t="shared" si="4"/>
        <v>0</v>
      </c>
      <c r="AO86" s="1292">
        <f t="shared" si="10"/>
        <v>0.05</v>
      </c>
      <c r="AP86" s="1293">
        <f t="shared" si="5"/>
        <v>0.05</v>
      </c>
      <c r="AQ86" s="18">
        <f>IF(ISBLANK(S86),0,(S86/X92)*AP93)</f>
        <v>0</v>
      </c>
      <c r="AR86" s="594">
        <f t="shared" si="6"/>
        <v>0</v>
      </c>
      <c r="AS86" s="649" t="s">
        <v>588</v>
      </c>
      <c r="AT86" s="648" t="s">
        <v>589</v>
      </c>
      <c r="AU86" s="648" t="s">
        <v>587</v>
      </c>
      <c r="AV86" s="648">
        <v>3</v>
      </c>
      <c r="AX86" s="1909" t="s">
        <v>758</v>
      </c>
      <c r="AY86" s="1910">
        <f>ROW()</f>
        <v>86</v>
      </c>
    </row>
    <row r="87" spans="1:51" ht="18.95" customHeight="1">
      <c r="A87" s="2609"/>
      <c r="B87" s="1437">
        <f>IF(D59=1,AI87,IF(D59=2,AM87,IF(D59=3,AQ87,IF(D59=4,AU87))))</f>
        <v>0</v>
      </c>
      <c r="C87" s="1438">
        <f>IF(D59=1,AJ87,IF(D59=2,AN87,IF(D59=3,AR87,IF(D59=4,AV87))))</f>
        <v>0</v>
      </c>
      <c r="D87" s="1510">
        <f>IF(D59=1,AH87,IF(D59=2,AL87,IF(D59=3,AP87,IF(D59=4,AT87))))</f>
        <v>0.04</v>
      </c>
      <c r="E87" s="1440" t="str">
        <f>IF(D59=1,"",IF(D87=F87,"",AE87))</f>
        <v/>
      </c>
      <c r="F87" s="1445" t="str">
        <f>IF(D59=1,"",IF(D59=2,AK87,IF(D59=3,AO87,IF(D59=4,AS87))))</f>
        <v/>
      </c>
      <c r="G87" s="22" t="str">
        <f t="shared" si="0"/>
        <v xml:space="preserve">blanc de poireau : 40 g - </v>
      </c>
      <c r="H87" s="22"/>
      <c r="I87" s="2454"/>
      <c r="J87" s="1530">
        <v>25</v>
      </c>
      <c r="K87" s="15" t="s">
        <v>2164</v>
      </c>
      <c r="L87" s="15"/>
      <c r="M87" s="15"/>
      <c r="N87" s="15"/>
      <c r="O87" s="15"/>
      <c r="P87" s="1915"/>
      <c r="Q87" s="2455"/>
      <c r="S87" s="1914"/>
      <c r="T87" s="1363"/>
      <c r="U87" s="1364">
        <v>0.04</v>
      </c>
      <c r="V87" s="1924">
        <v>0</v>
      </c>
      <c r="W87" s="19" t="s">
        <v>2145</v>
      </c>
      <c r="X87" s="1279">
        <f t="shared" si="1"/>
        <v>0.04</v>
      </c>
      <c r="Y87" s="1289">
        <f>(X87/X60)*Y60</f>
        <v>4.0000000000000001E-3</v>
      </c>
      <c r="Z87" s="18" t="str">
        <f>IF(ISBLANK(S87),"",(S87/X60)*Y60)</f>
        <v/>
      </c>
      <c r="AA87" s="594">
        <f t="shared" si="11"/>
        <v>0</v>
      </c>
      <c r="AB87" s="1365">
        <f>X87/X60</f>
        <v>4.0000000000000001E-3</v>
      </c>
      <c r="AC87" s="630"/>
      <c r="AD87" s="624">
        <f>AC60</f>
        <v>0</v>
      </c>
      <c r="AE87" s="624">
        <f t="shared" si="8"/>
        <v>0</v>
      </c>
      <c r="AF87" s="1366">
        <f t="shared" si="9"/>
        <v>1</v>
      </c>
      <c r="AH87" s="1290">
        <f>((X87/X60)*AJ60)</f>
        <v>0.04</v>
      </c>
      <c r="AI87" s="18">
        <f>IF(ISTEXT(S87),S87,IF(ISBLANK(S87),0,(S87/X60)*AJ60))</f>
        <v>0</v>
      </c>
      <c r="AJ87" s="17">
        <f t="shared" si="2"/>
        <v>0</v>
      </c>
      <c r="AK87" s="1291">
        <f t="shared" si="3"/>
        <v>0.04</v>
      </c>
      <c r="AL87" s="1292">
        <f>AN60*AB87</f>
        <v>0.04</v>
      </c>
      <c r="AM87" s="18">
        <f>IF(ISBLANK(S87),0,(S87/X60)*AN60)</f>
        <v>0</v>
      </c>
      <c r="AN87" s="594">
        <f t="shared" si="4"/>
        <v>0</v>
      </c>
      <c r="AO87" s="1292">
        <f t="shared" si="10"/>
        <v>0.04</v>
      </c>
      <c r="AP87" s="1293">
        <f t="shared" si="5"/>
        <v>0.04</v>
      </c>
      <c r="AQ87" s="18">
        <f>IF(ISBLANK(S87),0,(S87/X92)*AP93)</f>
        <v>0</v>
      </c>
      <c r="AR87" s="594">
        <f t="shared" si="6"/>
        <v>0</v>
      </c>
      <c r="AS87" s="649" t="s">
        <v>588</v>
      </c>
      <c r="AT87" s="648" t="s">
        <v>589</v>
      </c>
      <c r="AU87" s="648" t="s">
        <v>587</v>
      </c>
      <c r="AV87" s="648">
        <v>3</v>
      </c>
      <c r="AX87" s="1911" t="s">
        <v>758</v>
      </c>
      <c r="AY87" s="1912">
        <f>ROW()</f>
        <v>87</v>
      </c>
    </row>
    <row r="88" spans="1:51" ht="18.95" customHeight="1">
      <c r="A88" s="2609"/>
      <c r="B88" s="1437">
        <f>IF(D59=1,AI88,IF(D59=2,AM88,IF(D59=3,AQ88,IF(D59=4,AU88))))</f>
        <v>2</v>
      </c>
      <c r="C88" s="1438" t="str">
        <f>IF(D59=1,AJ88,IF(D59=2,AN88,IF(D59=3,AR88,IF(D59=4,AV88))))</f>
        <v>clous</v>
      </c>
      <c r="D88" s="1510">
        <f>IF(D59=1,AH88,IF(D59=2,AL88,IF(D59=3,AP88,IF(D59=4,AT88))))</f>
        <v>0</v>
      </c>
      <c r="E88" s="1440" t="str">
        <f>IF(D59=1,"",IF(D88=F88,"",AE88))</f>
        <v/>
      </c>
      <c r="F88" s="1445" t="str">
        <f>IF(D59=1,"",IF(D59=2,AK88,IF(D59=3,AO88,IF(D59=4,AS88))))</f>
        <v/>
      </c>
      <c r="G88" s="22" t="str">
        <f t="shared" si="0"/>
        <v xml:space="preserve">clou de girofle : 2 pièces - </v>
      </c>
      <c r="H88" s="22"/>
      <c r="I88" s="2454"/>
      <c r="J88" s="1530">
        <v>26</v>
      </c>
      <c r="K88" s="15" t="s">
        <v>2165</v>
      </c>
      <c r="L88" s="15"/>
      <c r="M88" s="15"/>
      <c r="N88" s="15"/>
      <c r="O88" s="15"/>
      <c r="P88" s="1915"/>
      <c r="Q88" s="2455"/>
      <c r="S88" s="1914">
        <v>2</v>
      </c>
      <c r="T88" s="1363" t="s">
        <v>1744</v>
      </c>
      <c r="U88" s="1364"/>
      <c r="V88" s="1924">
        <v>0</v>
      </c>
      <c r="W88" s="19" t="s">
        <v>2146</v>
      </c>
      <c r="X88" s="1279">
        <f t="shared" si="1"/>
        <v>0</v>
      </c>
      <c r="Y88" s="1289">
        <f>(X88/X60)*Y60</f>
        <v>0</v>
      </c>
      <c r="Z88" s="18">
        <f>IF(ISBLANK(S88),"",(S88/X60)*Y60)</f>
        <v>0.2</v>
      </c>
      <c r="AA88" s="594" t="str">
        <f t="shared" si="11"/>
        <v>clous</v>
      </c>
      <c r="AB88" s="1365">
        <f>X88/X60</f>
        <v>0</v>
      </c>
      <c r="AC88" s="630"/>
      <c r="AD88" s="624">
        <f>AC60</f>
        <v>0</v>
      </c>
      <c r="AE88" s="624">
        <f t="shared" si="8"/>
        <v>0</v>
      </c>
      <c r="AF88" s="1366">
        <f t="shared" si="9"/>
        <v>1</v>
      </c>
      <c r="AH88" s="1290">
        <f>((X88/X60)*AJ60)</f>
        <v>0</v>
      </c>
      <c r="AI88" s="18">
        <f>IF(ISTEXT(S88),S88,IF(ISBLANK(S88),0,(S88/X60)*AJ60))</f>
        <v>2</v>
      </c>
      <c r="AJ88" s="17" t="str">
        <f t="shared" si="2"/>
        <v>clous</v>
      </c>
      <c r="AK88" s="1291">
        <f t="shared" si="3"/>
        <v>0</v>
      </c>
      <c r="AL88" s="1292">
        <f>AN60*AB88</f>
        <v>0</v>
      </c>
      <c r="AM88" s="18">
        <f>IF(ISBLANK(S88),0,(S88/X60)*AN60)</f>
        <v>2</v>
      </c>
      <c r="AN88" s="594" t="str">
        <f t="shared" si="4"/>
        <v>clous</v>
      </c>
      <c r="AO88" s="1292">
        <f t="shared" si="10"/>
        <v>0</v>
      </c>
      <c r="AP88" s="1293">
        <f t="shared" si="5"/>
        <v>0</v>
      </c>
      <c r="AQ88" s="18">
        <f>IF(ISBLANK(S88),0,(S88/X92)*AP93)</f>
        <v>2.2480000000000007</v>
      </c>
      <c r="AR88" s="594" t="str">
        <f t="shared" si="6"/>
        <v>clous</v>
      </c>
      <c r="AS88" s="649" t="s">
        <v>588</v>
      </c>
      <c r="AT88" s="648" t="s">
        <v>589</v>
      </c>
      <c r="AU88" s="648" t="s">
        <v>587</v>
      </c>
      <c r="AV88" s="648">
        <v>3</v>
      </c>
      <c r="AX88" s="1909" t="s">
        <v>758</v>
      </c>
      <c r="AY88" s="1910">
        <f>ROW()</f>
        <v>88</v>
      </c>
    </row>
    <row r="89" spans="1:51" ht="18.95" customHeight="1">
      <c r="A89" s="2609"/>
      <c r="B89" s="1437">
        <f>IF(D59=1,AI89,IF(D59=2,AM89,IF(D59=3,AQ89,IF(D59=4,AU89))))</f>
        <v>2</v>
      </c>
      <c r="C89" s="1438" t="str">
        <f>IF(D59=1,AJ89,IF(D59=2,AN89,IF(D59=3,AR89,IF(D59=4,AV89))))</f>
        <v>baies</v>
      </c>
      <c r="D89" s="1510">
        <f>IF(D59=1,AH89,IF(D59=2,AL89,IF(D59=3,AP89,IF(D59=4,AT89))))</f>
        <v>0</v>
      </c>
      <c r="E89" s="1440" t="str">
        <f>IF(D59=1,"",IF(D89=F89,"",AE89))</f>
        <v/>
      </c>
      <c r="F89" s="1445" t="str">
        <f>IF(D59=1,"",IF(D59=2,AK89,IF(D59=3,AO89,IF(D59=4,AS89))))</f>
        <v/>
      </c>
      <c r="G89" s="22" t="str">
        <f t="shared" si="0"/>
        <v>baie de genièvre : 2 pièces -</v>
      </c>
      <c r="H89" s="22"/>
      <c r="I89" s="2454"/>
      <c r="J89" s="1530">
        <v>27</v>
      </c>
      <c r="K89" s="15" t="s">
        <v>2166</v>
      </c>
      <c r="L89" s="15"/>
      <c r="M89" s="15"/>
      <c r="N89" s="15"/>
      <c r="O89" s="15"/>
      <c r="P89" s="1915"/>
      <c r="Q89" s="2455"/>
      <c r="S89" s="1914">
        <v>2</v>
      </c>
      <c r="T89" s="1363" t="s">
        <v>2194</v>
      </c>
      <c r="U89" s="1364"/>
      <c r="V89" s="1924">
        <v>0</v>
      </c>
      <c r="W89" s="19" t="s">
        <v>2147</v>
      </c>
      <c r="X89" s="1279">
        <f t="shared" si="1"/>
        <v>0</v>
      </c>
      <c r="Y89" s="1289">
        <f>(X89/X60)*Y60</f>
        <v>0</v>
      </c>
      <c r="Z89" s="18">
        <f>IF(ISBLANK(S89),"",(S89/X60)*Y60)</f>
        <v>0.2</v>
      </c>
      <c r="AA89" s="594" t="str">
        <f t="shared" si="11"/>
        <v>baies</v>
      </c>
      <c r="AB89" s="1365">
        <f>X89/X60</f>
        <v>0</v>
      </c>
      <c r="AC89" s="630"/>
      <c r="AD89" s="624">
        <f>AC60</f>
        <v>0</v>
      </c>
      <c r="AE89" s="624">
        <f t="shared" si="8"/>
        <v>0</v>
      </c>
      <c r="AF89" s="1366">
        <f t="shared" si="9"/>
        <v>1</v>
      </c>
      <c r="AH89" s="1290">
        <f>((X89/X60)*AJ60)</f>
        <v>0</v>
      </c>
      <c r="AI89" s="18">
        <f>IF(ISTEXT(S89),S89,IF(ISBLANK(S89),0,(S89/X60)*AJ60))</f>
        <v>2</v>
      </c>
      <c r="AJ89" s="17" t="str">
        <f t="shared" si="2"/>
        <v>baies</v>
      </c>
      <c r="AK89" s="1291">
        <f t="shared" si="3"/>
        <v>0</v>
      </c>
      <c r="AL89" s="1292">
        <f>AN60*AB89</f>
        <v>0</v>
      </c>
      <c r="AM89" s="18">
        <f>IF(ISBLANK(S89),0,(S89/X60)*AN60)</f>
        <v>2</v>
      </c>
      <c r="AN89" s="594" t="str">
        <f t="shared" si="4"/>
        <v>baies</v>
      </c>
      <c r="AO89" s="1292">
        <f t="shared" si="10"/>
        <v>0</v>
      </c>
      <c r="AP89" s="1293">
        <f t="shared" si="5"/>
        <v>0</v>
      </c>
      <c r="AQ89" s="18">
        <f>IF(ISBLANK(S89),0,(S89/X92)*AP93)</f>
        <v>2.2480000000000007</v>
      </c>
      <c r="AR89" s="594" t="str">
        <f t="shared" si="6"/>
        <v>baies</v>
      </c>
      <c r="AS89" s="649" t="s">
        <v>588</v>
      </c>
      <c r="AT89" s="648" t="s">
        <v>589</v>
      </c>
      <c r="AU89" s="648" t="s">
        <v>587</v>
      </c>
      <c r="AV89" s="648">
        <v>3</v>
      </c>
      <c r="AX89" s="1911" t="s">
        <v>758</v>
      </c>
      <c r="AY89" s="1912">
        <f>ROW()</f>
        <v>89</v>
      </c>
    </row>
    <row r="90" spans="1:51" ht="18.95" customHeight="1">
      <c r="A90" s="2609"/>
      <c r="B90" s="1437">
        <f>IF(D59=1,AI90,IF(D59=2,AM90,IF(D59=3,AQ90,IF(D59=4,AU90))))</f>
        <v>1</v>
      </c>
      <c r="C90" s="1438" t="str">
        <f>IF(D59=1,AJ90,IF(D59=2,AN90,IF(D59=3,AR90,IF(D59=4,AV90))))</f>
        <v>bouquet</v>
      </c>
      <c r="D90" s="1510">
        <f>IF(D59=1,AH90,IF(D59=2,AL90,IF(D59=3,AP90,IF(D59=4,AT90))))</f>
        <v>0</v>
      </c>
      <c r="E90" s="1440" t="str">
        <f>IF(D59=1,"",IF(D90=F90,"",AE90))</f>
        <v/>
      </c>
      <c r="F90" s="1445" t="str">
        <f>IF(D59=1,"",IF(D59=2,AK90,IF(D59=3,AO90,IF(D59=4,AS90))))</f>
        <v/>
      </c>
      <c r="G90" s="22" t="str">
        <f t="shared" si="0"/>
        <v>bouquet garni : 1pièce</v>
      </c>
      <c r="H90" s="22"/>
      <c r="I90" s="2454"/>
      <c r="J90" s="1530">
        <v>28</v>
      </c>
      <c r="K90" s="15" t="s">
        <v>2167</v>
      </c>
      <c r="L90" s="15"/>
      <c r="M90" s="15"/>
      <c r="N90" s="15"/>
      <c r="O90" s="15"/>
      <c r="P90" s="1915"/>
      <c r="Q90" s="2455"/>
      <c r="S90" s="1914">
        <v>1</v>
      </c>
      <c r="T90" s="1363" t="s">
        <v>1729</v>
      </c>
      <c r="U90" s="1364"/>
      <c r="V90" s="1924">
        <v>0</v>
      </c>
      <c r="W90" s="19" t="s">
        <v>2148</v>
      </c>
      <c r="X90" s="1279">
        <f t="shared" si="1"/>
        <v>0</v>
      </c>
      <c r="Y90" s="1289">
        <f>(X90/X60)*Y60</f>
        <v>0</v>
      </c>
      <c r="Z90" s="18">
        <f>IF(ISBLANK(S90),"",(S90/X60)*Y60)</f>
        <v>0.1</v>
      </c>
      <c r="AA90" s="594" t="str">
        <f t="shared" si="11"/>
        <v>bouquet</v>
      </c>
      <c r="AB90" s="1365">
        <f>X90/X60</f>
        <v>0</v>
      </c>
      <c r="AC90" s="630"/>
      <c r="AD90" s="624">
        <f>AC60</f>
        <v>0</v>
      </c>
      <c r="AE90" s="624">
        <f t="shared" si="8"/>
        <v>0</v>
      </c>
      <c r="AF90" s="1366">
        <f t="shared" si="9"/>
        <v>1</v>
      </c>
      <c r="AH90" s="1290">
        <f>((X90/X60)*AJ60)</f>
        <v>0</v>
      </c>
      <c r="AI90" s="18">
        <f>IF(ISTEXT(S90),S90,IF(ISBLANK(S90),0,(S90/X60)*AJ60))</f>
        <v>1</v>
      </c>
      <c r="AJ90" s="17" t="str">
        <f t="shared" si="2"/>
        <v>bouquet</v>
      </c>
      <c r="AK90" s="1291">
        <f t="shared" si="3"/>
        <v>0</v>
      </c>
      <c r="AL90" s="1292">
        <f>AN60*AB90</f>
        <v>0</v>
      </c>
      <c r="AM90" s="18">
        <f>IF(ISBLANK(S90),0,(S90/X60)*AN60)</f>
        <v>1</v>
      </c>
      <c r="AN90" s="594" t="str">
        <f t="shared" si="4"/>
        <v>bouquet</v>
      </c>
      <c r="AO90" s="1292">
        <f t="shared" si="10"/>
        <v>0</v>
      </c>
      <c r="AP90" s="1293">
        <f t="shared" si="5"/>
        <v>0</v>
      </c>
      <c r="AQ90" s="18">
        <f>IF(ISBLANK(S90),0,(S90/X92)*AP93)</f>
        <v>1.1240000000000003</v>
      </c>
      <c r="AR90" s="594" t="str">
        <f t="shared" si="6"/>
        <v>bouquet</v>
      </c>
      <c r="AS90" s="649" t="s">
        <v>588</v>
      </c>
      <c r="AT90" s="648" t="s">
        <v>589</v>
      </c>
      <c r="AU90" s="648" t="s">
        <v>587</v>
      </c>
      <c r="AV90" s="648">
        <v>3</v>
      </c>
      <c r="AX90" s="791" t="s">
        <v>755</v>
      </c>
      <c r="AY90" s="1367">
        <f>ROW()</f>
        <v>90</v>
      </c>
    </row>
    <row r="91" spans="1:51" ht="18.95" customHeight="1">
      <c r="A91" s="2609"/>
      <c r="B91" s="1437">
        <f>IF(D59=1,AI91,IF(D59=2,AM91,IF(D59=3,AQ91,IF(D59=4,AU91))))</f>
        <v>0</v>
      </c>
      <c r="C91" s="1438">
        <f>IF(D59=1,AJ91,IF(D59=2,AN91,IF(D59=3,AR91,IF(D59=4,AV91))))</f>
        <v>0</v>
      </c>
      <c r="D91" s="1510">
        <f>IF(D59=1,AH91,IF(D59=2,AL91,IF(D59=3,AP91,IF(D59=4,AT91))))</f>
        <v>0</v>
      </c>
      <c r="E91" s="1440" t="str">
        <f>IF(D59=1,"",IF(D91=F91,"",AE91))</f>
        <v/>
      </c>
      <c r="F91" s="1445" t="str">
        <f>IF(D59=1,"",IF(D59=2,AK91,IF(D59=3,AO91,IF(D59=4,AS91))))</f>
        <v/>
      </c>
      <c r="G91" s="22">
        <f t="shared" si="0"/>
        <v>0</v>
      </c>
      <c r="H91" s="22"/>
      <c r="I91" s="2454"/>
      <c r="J91" s="1530">
        <v>29</v>
      </c>
      <c r="K91" s="15" t="s">
        <v>2168</v>
      </c>
      <c r="L91" s="15"/>
      <c r="M91" s="15"/>
      <c r="N91" s="15"/>
      <c r="O91" s="15"/>
      <c r="P91" s="1915"/>
      <c r="Q91" s="2455"/>
      <c r="S91" s="1914"/>
      <c r="T91" s="1363"/>
      <c r="U91" s="1364"/>
      <c r="V91" s="1924">
        <f>SUM(V62:V79)</f>
        <v>0.99999999999999978</v>
      </c>
      <c r="W91" s="19"/>
      <c r="X91" s="1279">
        <f t="shared" si="1"/>
        <v>0</v>
      </c>
      <c r="Y91" s="1289">
        <f>(X91/X60)*Y60</f>
        <v>0</v>
      </c>
      <c r="Z91" s="18" t="str">
        <f>IF(ISBLANK(S91),"",(S91/X60)*Y60)</f>
        <v/>
      </c>
      <c r="AA91" s="594">
        <f t="shared" si="11"/>
        <v>0</v>
      </c>
      <c r="AB91" s="1365">
        <f>X91/X60</f>
        <v>0</v>
      </c>
      <c r="AC91" s="630"/>
      <c r="AD91" s="624">
        <f>AC60</f>
        <v>0</v>
      </c>
      <c r="AE91" s="624">
        <f t="shared" si="8"/>
        <v>0</v>
      </c>
      <c r="AF91" s="1366">
        <f t="shared" si="9"/>
        <v>1</v>
      </c>
      <c r="AH91" s="1290">
        <f>((X91/X60)*AJ60)</f>
        <v>0</v>
      </c>
      <c r="AI91" s="18">
        <f>IF(ISTEXT(S91),S91,IF(ISBLANK(S91),0,(S91/X60)*AJ60))</f>
        <v>0</v>
      </c>
      <c r="AJ91" s="17">
        <f t="shared" si="2"/>
        <v>0</v>
      </c>
      <c r="AK91" s="1291">
        <f t="shared" si="3"/>
        <v>0</v>
      </c>
      <c r="AL91" s="1292">
        <f>AN60*AB91</f>
        <v>0</v>
      </c>
      <c r="AM91" s="18">
        <f>IF(ISBLANK(S91),0,(S91/X60)*AN60)</f>
        <v>0</v>
      </c>
      <c r="AN91" s="594">
        <f t="shared" si="4"/>
        <v>0</v>
      </c>
      <c r="AO91" s="1292">
        <f t="shared" si="10"/>
        <v>0</v>
      </c>
      <c r="AP91" s="1293">
        <f t="shared" si="5"/>
        <v>0</v>
      </c>
      <c r="AQ91" s="18">
        <f>IF(ISBLANK(S91),0,(S91/X92)*AP93)</f>
        <v>0</v>
      </c>
      <c r="AR91" s="594">
        <f t="shared" si="6"/>
        <v>0</v>
      </c>
      <c r="AS91" s="649" t="s">
        <v>588</v>
      </c>
      <c r="AT91" s="648" t="s">
        <v>589</v>
      </c>
      <c r="AU91" s="648" t="s">
        <v>587</v>
      </c>
      <c r="AV91" s="648">
        <v>3</v>
      </c>
      <c r="AX91" s="791" t="s">
        <v>755</v>
      </c>
      <c r="AY91" s="1495">
        <f>ROW()</f>
        <v>91</v>
      </c>
    </row>
    <row r="92" spans="1:51" ht="24.75" customHeight="1">
      <c r="A92" s="2609"/>
      <c r="B92" s="606" t="s">
        <v>22</v>
      </c>
      <c r="C92" s="606" t="s">
        <v>575</v>
      </c>
      <c r="D92" s="606" t="s">
        <v>585</v>
      </c>
      <c r="E92" s="635" t="s">
        <v>583</v>
      </c>
      <c r="F92" s="606" t="s">
        <v>584</v>
      </c>
      <c r="G92" s="1930" t="s">
        <v>2196</v>
      </c>
      <c r="H92" s="1928"/>
      <c r="I92" s="2454"/>
      <c r="J92" s="1530">
        <v>30</v>
      </c>
      <c r="K92" s="15" t="s">
        <v>2169</v>
      </c>
      <c r="L92" s="15"/>
      <c r="M92" s="15"/>
      <c r="N92" s="15"/>
      <c r="O92" s="15"/>
      <c r="P92" s="1915"/>
      <c r="Q92" s="2455"/>
      <c r="S92" s="1537"/>
      <c r="T92" s="13"/>
      <c r="U92" s="653">
        <f>SUM(U61:U78)</f>
        <v>10</v>
      </c>
      <c r="V92" s="653"/>
      <c r="W92" s="1929" t="s">
        <v>2196</v>
      </c>
      <c r="X92" s="1287">
        <f>SUM(X61:X78)</f>
        <v>10</v>
      </c>
      <c r="Y92" s="597"/>
      <c r="Z92" s="597"/>
      <c r="AA92" s="598"/>
      <c r="AB92" s="632"/>
      <c r="AC92" s="1296">
        <f>COUNTIF(AE62:AE91,"&gt;0")</f>
        <v>0</v>
      </c>
      <c r="AD92" s="631"/>
      <c r="AE92" s="621"/>
      <c r="AF92" s="598"/>
      <c r="AH92" s="607" t="s">
        <v>22</v>
      </c>
      <c r="AI92" s="621"/>
      <c r="AJ92" s="621"/>
      <c r="AK92" s="607" t="s">
        <v>22</v>
      </c>
      <c r="AL92" s="606" t="s">
        <v>22</v>
      </c>
      <c r="AM92" s="606" t="s">
        <v>225</v>
      </c>
      <c r="AN92" s="604" t="s">
        <v>575</v>
      </c>
      <c r="AO92" s="607" t="s">
        <v>22</v>
      </c>
      <c r="AP92" s="606" t="s">
        <v>22</v>
      </c>
      <c r="AQ92" s="606" t="s">
        <v>225</v>
      </c>
      <c r="AR92" s="604" t="s">
        <v>575</v>
      </c>
      <c r="AS92" s="606"/>
      <c r="AT92" s="618"/>
      <c r="AU92" s="606"/>
      <c r="AV92" s="606"/>
      <c r="AX92" s="791" t="s">
        <v>755</v>
      </c>
      <c r="AY92" s="1495">
        <f>ROW()</f>
        <v>92</v>
      </c>
    </row>
    <row r="93" spans="1:51" ht="18.95" customHeight="1">
      <c r="A93" s="2609"/>
      <c r="B93" s="1311">
        <f>SUM(B62:B91)</f>
        <v>5</v>
      </c>
      <c r="C93" s="1299" t="str">
        <f>IF((F93)=0,"",(D93-F93))</f>
        <v/>
      </c>
      <c r="D93" s="1926">
        <f>SUM(D62:D78)</f>
        <v>10</v>
      </c>
      <c r="E93" s="636" t="e">
        <f>C93/D93</f>
        <v>#VALUE!</v>
      </c>
      <c r="F93" s="1926">
        <f>SUM(F62:F78)</f>
        <v>0</v>
      </c>
      <c r="G93" s="1076" t="s">
        <v>1590</v>
      </c>
      <c r="H93" s="606"/>
      <c r="I93" s="2454"/>
      <c r="J93" s="1530">
        <v>31</v>
      </c>
      <c r="K93" s="15" t="s">
        <v>2170</v>
      </c>
      <c r="L93" s="15"/>
      <c r="M93" s="15"/>
      <c r="N93" s="15"/>
      <c r="O93" s="15"/>
      <c r="P93" s="1915"/>
      <c r="Q93" s="2455"/>
      <c r="S93" s="2437" t="s">
        <v>6</v>
      </c>
      <c r="T93" s="1368" t="s">
        <v>5</v>
      </c>
      <c r="U93" s="1921" t="s">
        <v>2130</v>
      </c>
      <c r="V93" s="1921"/>
      <c r="W93" s="1608"/>
      <c r="X93" s="780"/>
      <c r="Y93" s="1299">
        <f>SUM(Y62:Y92)</f>
        <v>1.1239999999999994</v>
      </c>
      <c r="Z93" s="1299">
        <f>SUM(Z62:Z92)</f>
        <v>0.5</v>
      </c>
      <c r="AA93" s="599" t="s">
        <v>14</v>
      </c>
      <c r="AB93" s="633"/>
      <c r="AC93" s="1493"/>
      <c r="AD93" s="1493"/>
      <c r="AE93" s="4"/>
      <c r="AF93" s="599"/>
      <c r="AH93" s="1297">
        <f>SUM(AH62:AH91)</f>
        <v>11.240000000000002</v>
      </c>
      <c r="AI93" s="4"/>
      <c r="AJ93" s="4"/>
      <c r="AK93" s="1297">
        <f>SUM(AK62:AK91)</f>
        <v>11.240000000000002</v>
      </c>
      <c r="AL93" s="1299">
        <f>SUM(AL62:AL91)</f>
        <v>11.240000000000002</v>
      </c>
      <c r="AM93" s="605">
        <f>(AN93/AL93%)</f>
        <v>0</v>
      </c>
      <c r="AN93" s="1494">
        <f>AL93-AK93</f>
        <v>0</v>
      </c>
      <c r="AO93" s="1299">
        <f>SUM(AO62:AO91)</f>
        <v>11.240000000000002</v>
      </c>
      <c r="AP93" s="1299">
        <f>SUM(AP62:AP91)</f>
        <v>11.240000000000002</v>
      </c>
      <c r="AQ93" s="717">
        <f>(AR93/AP93%)</f>
        <v>0</v>
      </c>
      <c r="AR93" s="1494">
        <f>AP93-AO93</f>
        <v>0</v>
      </c>
      <c r="AS93" s="650"/>
      <c r="AT93" s="651"/>
      <c r="AU93" s="650"/>
      <c r="AV93" s="652"/>
      <c r="AX93" s="791" t="s">
        <v>755</v>
      </c>
      <c r="AY93" s="1495">
        <f>ROW()</f>
        <v>93</v>
      </c>
    </row>
    <row r="94" spans="1:51" ht="18.95" customHeight="1" thickBot="1">
      <c r="A94" s="2609"/>
      <c r="B94" s="1597" t="str">
        <f>ADDRESS(ROW(),COLUMN(),4)</f>
        <v>B94</v>
      </c>
      <c r="C94" s="1371">
        <v>12</v>
      </c>
      <c r="D94" s="1598" t="s">
        <v>1697</v>
      </c>
      <c r="E94" s="1373"/>
      <c r="F94" s="1373"/>
      <c r="G94" s="1374"/>
      <c r="H94" s="2506">
        <f>(C95*C94)/1000</f>
        <v>1.32</v>
      </c>
      <c r="I94" s="2454"/>
      <c r="J94" s="1530">
        <v>32</v>
      </c>
      <c r="K94" s="15" t="s">
        <v>2171</v>
      </c>
      <c r="L94" s="15"/>
      <c r="M94" s="15"/>
      <c r="N94" s="15"/>
      <c r="O94" s="15"/>
      <c r="P94" s="1915"/>
      <c r="Q94" s="2455"/>
      <c r="S94" s="2438"/>
      <c r="T94" s="1285" t="s">
        <v>5</v>
      </c>
      <c r="U94" s="1285"/>
      <c r="V94" s="1285"/>
      <c r="W94" s="1285"/>
      <c r="X94" s="1920"/>
      <c r="Y94" s="1487"/>
      <c r="Z94" s="1488"/>
      <c r="AA94" s="1489"/>
      <c r="AB94" s="1489"/>
      <c r="AC94" s="1490"/>
      <c r="AD94" s="1490"/>
      <c r="AE94" s="1489"/>
      <c r="AF94" s="1491"/>
      <c r="AG94" s="344"/>
      <c r="AH94" s="1492"/>
      <c r="AI94" s="1489"/>
      <c r="AJ94" s="1491"/>
      <c r="AK94" s="1489"/>
      <c r="AL94" s="1489"/>
      <c r="AM94" s="1489"/>
      <c r="AN94" s="1491"/>
      <c r="AO94" s="1489"/>
      <c r="AP94" s="1489"/>
      <c r="AQ94" s="1489"/>
      <c r="AR94" s="1491"/>
      <c r="AS94" s="1489"/>
      <c r="AT94" s="1489"/>
      <c r="AU94" s="1489"/>
      <c r="AV94" s="1489"/>
      <c r="AX94" s="791" t="s">
        <v>755</v>
      </c>
      <c r="AY94" s="1495">
        <f>ROW()</f>
        <v>94</v>
      </c>
    </row>
    <row r="95" spans="1:51" ht="19.5" customHeight="1" thickBot="1">
      <c r="A95" s="2609"/>
      <c r="B95" s="1599" t="str">
        <f t="shared" ref="B95:B97" si="12">ADDRESS(ROW(),COLUMN(),4)</f>
        <v>B95</v>
      </c>
      <c r="C95" s="1377">
        <v>110</v>
      </c>
      <c r="D95" s="1378" t="s">
        <v>1710</v>
      </c>
      <c r="E95" s="1379"/>
      <c r="F95" s="1379"/>
      <c r="G95" s="1380" t="s">
        <v>1711</v>
      </c>
      <c r="H95" s="2608"/>
      <c r="I95" s="2454"/>
      <c r="J95" s="1530">
        <v>33</v>
      </c>
      <c r="K95" s="6"/>
      <c r="L95" s="6"/>
      <c r="M95" s="6"/>
      <c r="N95" s="6"/>
      <c r="O95" s="6"/>
      <c r="P95" s="1915"/>
      <c r="Q95" s="2455"/>
      <c r="S95" s="53"/>
      <c r="T95" s="53"/>
      <c r="U95" s="1070" t="s">
        <v>1569</v>
      </c>
      <c r="V95" s="1070"/>
      <c r="W95" s="53"/>
      <c r="X95" s="53"/>
      <c r="Y95" s="53"/>
      <c r="Z95" s="53"/>
      <c r="AA95" s="53"/>
      <c r="AB95" s="53"/>
      <c r="AC95" s="53"/>
      <c r="AD95" s="53"/>
      <c r="AE95" s="53"/>
      <c r="AF95" s="53"/>
      <c r="AH95" s="53"/>
      <c r="AI95" s="53"/>
      <c r="AJ95" s="53"/>
      <c r="AK95" s="1117"/>
      <c r="AL95" s="1116"/>
      <c r="AM95" s="1116"/>
      <c r="AN95" s="1116"/>
      <c r="AO95" s="1116"/>
      <c r="AP95" s="1117"/>
      <c r="AQ95" s="779"/>
      <c r="AR95" s="779"/>
      <c r="AS95" s="779"/>
      <c r="AT95" s="779"/>
      <c r="AU95" s="779"/>
      <c r="AV95" s="779"/>
      <c r="AX95" s="791" t="s">
        <v>755</v>
      </c>
      <c r="AY95" s="1495">
        <f>ROW()</f>
        <v>95</v>
      </c>
    </row>
    <row r="96" spans="1:51" ht="19.5" customHeight="1">
      <c r="A96" s="2609"/>
      <c r="B96" s="1599" t="str">
        <f t="shared" si="12"/>
        <v>B96</v>
      </c>
      <c r="C96" s="1381">
        <f>P57</f>
        <v>74.074074074074076</v>
      </c>
      <c r="D96" s="1382" t="s">
        <v>1715</v>
      </c>
      <c r="E96" s="1383"/>
      <c r="F96" s="1383"/>
      <c r="G96" s="1384"/>
      <c r="H96" s="2506">
        <f>((X92/C96)*C97)</f>
        <v>1.35</v>
      </c>
      <c r="I96" s="2454"/>
      <c r="J96" s="1600"/>
      <c r="K96" s="606"/>
      <c r="L96" s="606"/>
      <c r="M96" s="606"/>
      <c r="N96" s="606"/>
      <c r="O96" s="606"/>
      <c r="P96" s="1916"/>
      <c r="Q96" s="2455"/>
      <c r="S96" s="53"/>
      <c r="T96" s="53"/>
      <c r="U96" s="1071">
        <v>6</v>
      </c>
      <c r="V96" s="1071"/>
      <c r="W96" s="53"/>
      <c r="X96" s="53"/>
      <c r="Y96" s="53"/>
      <c r="Z96" s="53"/>
      <c r="AA96" s="53"/>
      <c r="AB96" s="53"/>
      <c r="AC96" s="53"/>
      <c r="AD96" s="53"/>
      <c r="AE96" s="53"/>
      <c r="AF96" s="53"/>
      <c r="AH96" s="53"/>
      <c r="AI96" s="53"/>
      <c r="AJ96" s="53"/>
      <c r="AK96" s="53"/>
      <c r="AL96" s="53"/>
      <c r="AM96" s="53"/>
      <c r="AN96" s="53"/>
      <c r="AO96" s="53"/>
      <c r="AP96" s="53"/>
      <c r="AQ96" s="779"/>
      <c r="AR96" s="779"/>
      <c r="AS96" s="779"/>
      <c r="AT96" s="779"/>
      <c r="AU96" s="779"/>
      <c r="AV96" s="779"/>
      <c r="AX96" s="791" t="s">
        <v>755</v>
      </c>
      <c r="AY96" s="1495">
        <f>ROW()</f>
        <v>96</v>
      </c>
    </row>
    <row r="97" spans="1:51" ht="19.5" customHeight="1">
      <c r="A97" s="2609"/>
      <c r="B97" s="1917" t="str">
        <f t="shared" si="12"/>
        <v>B97</v>
      </c>
      <c r="C97" s="1386">
        <v>10</v>
      </c>
      <c r="D97" s="1387" t="s">
        <v>1713</v>
      </c>
      <c r="E97" s="1388"/>
      <c r="F97" s="1388"/>
      <c r="G97" s="1389"/>
      <c r="H97" s="2608"/>
      <c r="I97" s="2454"/>
      <c r="J97" s="1932" t="s">
        <v>7</v>
      </c>
      <c r="K97" s="1933" t="str">
        <f ca="1">CELL("nomfichier")</f>
        <v>F:\Bureau\pour UPRT 5 decembre\[re-boudins-blancs.xlsx]CONTENU</v>
      </c>
      <c r="L97" s="1508"/>
      <c r="M97" s="1508"/>
      <c r="N97" s="1508"/>
      <c r="O97" s="1508"/>
      <c r="P97" s="1602"/>
      <c r="Q97" s="1087" t="s">
        <v>818</v>
      </c>
      <c r="S97" s="53"/>
      <c r="T97" s="53"/>
      <c r="U97" s="1071">
        <v>6</v>
      </c>
      <c r="V97" s="1071"/>
      <c r="W97" s="53"/>
      <c r="X97" s="53"/>
      <c r="Y97" s="53"/>
      <c r="Z97" s="53"/>
      <c r="AA97" s="53"/>
      <c r="AB97" s="53"/>
      <c r="AC97" s="53"/>
      <c r="AD97" s="53"/>
      <c r="AE97" s="53"/>
      <c r="AF97" s="53"/>
      <c r="AH97" s="53"/>
      <c r="AI97" s="53"/>
      <c r="AJ97" s="53"/>
      <c r="AK97" s="53"/>
      <c r="AL97" s="53"/>
      <c r="AM97" s="53"/>
      <c r="AN97" s="53"/>
      <c r="AO97" s="53"/>
      <c r="AP97" s="53"/>
      <c r="AQ97" s="779"/>
      <c r="AR97" s="779"/>
      <c r="AS97" s="779"/>
      <c r="AT97" s="779"/>
      <c r="AU97" s="779"/>
      <c r="AV97" s="779"/>
      <c r="AX97" s="791" t="s">
        <v>755</v>
      </c>
      <c r="AY97" s="1495">
        <f>ROW()</f>
        <v>97</v>
      </c>
    </row>
    <row r="98" spans="1:51" ht="18.95" customHeight="1" thickBot="1">
      <c r="B98" s="1337">
        <v>8</v>
      </c>
      <c r="C98" s="1337">
        <v>10</v>
      </c>
      <c r="D98" s="1337">
        <v>16</v>
      </c>
      <c r="E98" s="1337">
        <v>6.57</v>
      </c>
      <c r="F98" s="1337">
        <v>16</v>
      </c>
      <c r="G98" s="1337">
        <v>60</v>
      </c>
      <c r="H98" s="1337">
        <v>12</v>
      </c>
      <c r="I98" s="1337"/>
      <c r="J98" s="1337">
        <v>8</v>
      </c>
      <c r="K98" s="1337">
        <v>10</v>
      </c>
      <c r="L98" s="1337">
        <v>16</v>
      </c>
      <c r="M98" s="1337">
        <v>6.57</v>
      </c>
      <c r="N98" s="1337">
        <v>16</v>
      </c>
      <c r="O98" s="1337">
        <v>60</v>
      </c>
      <c r="P98" s="1337">
        <v>12</v>
      </c>
      <c r="Q98" s="1338">
        <v>1.57</v>
      </c>
      <c r="R98" s="1339" t="s">
        <v>740</v>
      </c>
    </row>
    <row r="99" spans="1:51" ht="18.95" customHeight="1">
      <c r="B99" s="1390" t="s">
        <v>1571</v>
      </c>
      <c r="C99" s="2515" t="s">
        <v>1570</v>
      </c>
      <c r="D99" s="2515"/>
      <c r="E99" s="2515"/>
      <c r="F99" s="2515"/>
      <c r="G99" s="2515"/>
      <c r="S99" s="1323" t="str">
        <f>ADDRESS(ROW(),COLUMN(),4)</f>
        <v>S99</v>
      </c>
      <c r="T99" s="2439" t="s">
        <v>1569</v>
      </c>
      <c r="U99" s="2439"/>
      <c r="V99" s="2439"/>
      <c r="W99" s="2439"/>
      <c r="X99" s="2440"/>
      <c r="Z99" s="2413" t="s">
        <v>726</v>
      </c>
      <c r="AA99" s="2414"/>
      <c r="AB99" s="2414"/>
      <c r="AC99" s="2414"/>
      <c r="AD99" s="2414"/>
      <c r="AE99" s="2415"/>
    </row>
    <row r="100" spans="1:51" ht="18.95" customHeight="1">
      <c r="B100" s="1"/>
      <c r="C100" s="1"/>
      <c r="D100" s="1"/>
      <c r="E100" s="1"/>
      <c r="F100" s="1"/>
      <c r="G100" s="1"/>
      <c r="S100" s="1322" t="s">
        <v>1705</v>
      </c>
      <c r="T100" s="2441"/>
      <c r="U100" s="2441"/>
      <c r="V100" s="2441"/>
      <c r="W100" s="2441"/>
      <c r="X100" s="2442"/>
      <c r="Z100" s="2416" t="s">
        <v>722</v>
      </c>
      <c r="AA100" s="2417"/>
      <c r="AB100" s="725" t="s">
        <v>725</v>
      </c>
      <c r="AC100" s="1507" t="s">
        <v>721</v>
      </c>
      <c r="AD100" s="2418" t="s">
        <v>66</v>
      </c>
      <c r="AE100" s="2419"/>
    </row>
    <row r="101" spans="1:51" ht="21" customHeight="1">
      <c r="B101" s="1390" t="s">
        <v>1571</v>
      </c>
      <c r="C101" s="2515" t="s">
        <v>1572</v>
      </c>
      <c r="D101" s="2515"/>
      <c r="E101" s="2515"/>
      <c r="F101" s="2515"/>
      <c r="G101" s="2515"/>
      <c r="S101" s="2380" t="s">
        <v>144</v>
      </c>
      <c r="T101" s="2381"/>
      <c r="U101" s="2381"/>
      <c r="V101" s="2381"/>
      <c r="W101" s="2381"/>
      <c r="X101" s="2382"/>
      <c r="Z101" s="2429">
        <v>20</v>
      </c>
      <c r="AA101" s="2424">
        <f>Z101/100</f>
        <v>0.2</v>
      </c>
      <c r="AB101" s="1068" t="s">
        <v>206</v>
      </c>
      <c r="AC101" s="724">
        <v>1</v>
      </c>
      <c r="AD101" s="1107">
        <f>(Z101*AC101)*10</f>
        <v>200</v>
      </c>
      <c r="AE101" s="1109">
        <f>AD101/1000</f>
        <v>0.2</v>
      </c>
    </row>
    <row r="102" spans="1:51" ht="27" customHeight="1">
      <c r="B102" s="1"/>
      <c r="C102" s="1"/>
      <c r="D102" s="1"/>
      <c r="E102" s="1"/>
      <c r="F102" s="1"/>
      <c r="G102" s="1"/>
      <c r="O102" s="2065" t="s">
        <v>2335</v>
      </c>
      <c r="P102" s="2066"/>
      <c r="S102" s="2380"/>
      <c r="T102" s="2381"/>
      <c r="U102" s="2381"/>
      <c r="V102" s="2381"/>
      <c r="W102" s="2381"/>
      <c r="X102" s="2382"/>
      <c r="Z102" s="2429"/>
      <c r="AA102" s="2424"/>
      <c r="AB102" s="1068" t="s">
        <v>727</v>
      </c>
      <c r="AC102" s="724">
        <v>1.03</v>
      </c>
      <c r="AD102" s="1107">
        <f>(Z101*AC102)*10</f>
        <v>206</v>
      </c>
      <c r="AE102" s="1109">
        <f t="shared" ref="AE102:AE103" si="13">AD102/1000</f>
        <v>0.20599999999999999</v>
      </c>
    </row>
    <row r="103" spans="1:51" ht="20.100000000000001" customHeight="1" thickBot="1">
      <c r="O103" s="2069" t="s">
        <v>2336</v>
      </c>
      <c r="P103" s="2070">
        <v>400</v>
      </c>
      <c r="S103" s="2434" t="s">
        <v>1603</v>
      </c>
      <c r="T103" s="2435"/>
      <c r="U103" s="2435"/>
      <c r="V103" s="2435"/>
      <c r="W103" s="2435"/>
      <c r="X103" s="2436"/>
      <c r="Z103" s="2430"/>
      <c r="AA103" s="2425"/>
      <c r="AB103" s="1069" t="s">
        <v>724</v>
      </c>
      <c r="AC103" s="900">
        <v>0.8</v>
      </c>
      <c r="AD103" s="1108">
        <f>(AC103*Z101)*10</f>
        <v>160</v>
      </c>
      <c r="AE103" s="1110">
        <f t="shared" si="13"/>
        <v>0.16</v>
      </c>
    </row>
    <row r="104" spans="1:51" ht="20.100000000000001" customHeight="1">
      <c r="O104" s="2065" t="s">
        <v>2337</v>
      </c>
      <c r="P104" s="2071">
        <v>236</v>
      </c>
      <c r="S104" s="1128"/>
      <c r="T104" s="1126"/>
      <c r="U104" s="1126"/>
      <c r="V104" s="1126"/>
      <c r="W104" s="1126"/>
      <c r="X104" s="1129"/>
    </row>
    <row r="105" spans="1:51" ht="20.100000000000001" customHeight="1">
      <c r="O105" s="2069" t="s">
        <v>2338</v>
      </c>
      <c r="P105" s="2070">
        <v>140</v>
      </c>
      <c r="S105" s="2411" t="s">
        <v>1605</v>
      </c>
      <c r="T105" s="2412"/>
      <c r="U105" s="2412"/>
      <c r="V105" s="2412"/>
      <c r="W105" s="2412"/>
      <c r="X105" s="1127" t="str">
        <f>LEFT(ADDRESS(1,COLUMN(),4),LEN(ADDRESS(1,COLUMN(),4))-1)</f>
        <v>X</v>
      </c>
    </row>
    <row r="106" spans="1:51" ht="20.100000000000001" customHeight="1">
      <c r="O106" s="2065" t="s">
        <v>2339</v>
      </c>
      <c r="P106" s="2071">
        <v>90</v>
      </c>
      <c r="S106" s="734" t="s">
        <v>1593</v>
      </c>
      <c r="T106" s="1"/>
      <c r="U106" s="1"/>
      <c r="V106" s="1"/>
      <c r="W106" s="1"/>
      <c r="X106" s="2"/>
    </row>
    <row r="107" spans="1:51" ht="20.100000000000001" customHeight="1">
      <c r="O107" s="2069" t="s">
        <v>2340</v>
      </c>
      <c r="P107" s="2070">
        <v>60</v>
      </c>
      <c r="S107" s="2420" t="s">
        <v>1604</v>
      </c>
      <c r="T107" s="2421"/>
      <c r="U107" s="2421"/>
      <c r="V107" s="2421"/>
      <c r="W107" s="2421"/>
      <c r="X107" s="2"/>
    </row>
    <row r="108" spans="1:51" ht="20.100000000000001" customHeight="1">
      <c r="O108" s="2065" t="s">
        <v>2341</v>
      </c>
      <c r="P108" s="2071">
        <v>30</v>
      </c>
      <c r="S108" s="2420"/>
      <c r="T108" s="2421"/>
      <c r="U108" s="2421"/>
      <c r="V108" s="2421"/>
      <c r="W108" s="2421"/>
      <c r="X108" s="2"/>
    </row>
    <row r="109" spans="1:51" ht="20.100000000000001" customHeight="1">
      <c r="O109" s="2069" t="s">
        <v>2342</v>
      </c>
      <c r="P109" s="2070">
        <v>16.5</v>
      </c>
      <c r="S109" s="2420"/>
      <c r="T109" s="2421"/>
      <c r="U109" s="2421"/>
      <c r="V109" s="2421"/>
      <c r="W109" s="2421"/>
      <c r="X109" s="2"/>
    </row>
    <row r="110" spans="1:51" ht="20.100000000000001" customHeight="1">
      <c r="O110" s="2065" t="s">
        <v>2343</v>
      </c>
      <c r="P110" s="2071">
        <v>10</v>
      </c>
      <c r="S110" s="1086" t="s">
        <v>1594</v>
      </c>
      <c r="T110" s="1"/>
      <c r="U110" s="1"/>
      <c r="V110" s="1"/>
      <c r="W110" s="1"/>
      <c r="X110" s="2"/>
    </row>
    <row r="111" spans="1:51" ht="20.100000000000001" customHeight="1">
      <c r="O111" s="2069" t="s">
        <v>2344</v>
      </c>
      <c r="P111" s="2070">
        <v>10</v>
      </c>
      <c r="S111" s="1918"/>
      <c r="T111" s="1131"/>
      <c r="U111" s="1131"/>
      <c r="V111" s="1131"/>
      <c r="W111" s="1131"/>
      <c r="X111" s="1919"/>
    </row>
    <row r="112" spans="1:51" ht="20.100000000000001" customHeight="1">
      <c r="O112" s="2065" t="s">
        <v>2345</v>
      </c>
      <c r="P112" s="2071">
        <v>5</v>
      </c>
      <c r="S112" s="1093" t="s">
        <v>75</v>
      </c>
      <c r="T112" s="2379" t="s">
        <v>670</v>
      </c>
      <c r="U112" s="2379"/>
      <c r="V112" s="2379"/>
      <c r="W112" s="2379"/>
      <c r="X112" s="1603" t="str">
        <f>+ADDRESS(ROW(T54),COLUMN(T54),4)</f>
        <v>T54</v>
      </c>
    </row>
    <row r="113" spans="15:24" ht="20.100000000000001" customHeight="1">
      <c r="O113" s="2069" t="s">
        <v>2346</v>
      </c>
      <c r="P113" s="2070">
        <v>1</v>
      </c>
      <c r="S113" s="2384" t="s">
        <v>72</v>
      </c>
      <c r="T113" s="2385" t="s">
        <v>669</v>
      </c>
      <c r="U113" s="2385"/>
      <c r="V113" s="2385"/>
      <c r="W113" s="2385"/>
      <c r="X113" s="2386" t="str">
        <f>ADDRESS(ROW(),COLUMN(T55),4)</f>
        <v>T113</v>
      </c>
    </row>
    <row r="114" spans="15:24" ht="20.100000000000001" customHeight="1">
      <c r="O114" s="2065" t="s">
        <v>2347</v>
      </c>
      <c r="P114" s="2072">
        <v>0.5</v>
      </c>
      <c r="S114" s="2384"/>
      <c r="T114" s="2385"/>
      <c r="U114" s="2385"/>
      <c r="V114" s="2385"/>
      <c r="W114" s="2385"/>
      <c r="X114" s="2386"/>
    </row>
    <row r="115" spans="15:24" ht="20.100000000000001" customHeight="1">
      <c r="O115" s="2069" t="s">
        <v>2348</v>
      </c>
      <c r="P115" s="2073">
        <v>0.5</v>
      </c>
      <c r="S115" s="1496" t="s">
        <v>71</v>
      </c>
      <c r="T115" s="1092"/>
      <c r="U115" s="1092"/>
      <c r="V115" s="1092"/>
      <c r="W115" s="1092"/>
      <c r="X115" s="1095" t="str">
        <f>ADDRESS(ROW(),COLUMN(W56),4)</f>
        <v>W115</v>
      </c>
    </row>
    <row r="116" spans="15:24" ht="20.100000000000001" customHeight="1">
      <c r="O116" s="2065" t="s">
        <v>2349</v>
      </c>
      <c r="P116" s="2072">
        <v>0.2</v>
      </c>
      <c r="S116" s="2387" t="s">
        <v>684</v>
      </c>
      <c r="T116" s="2385"/>
      <c r="U116" s="2385"/>
      <c r="V116" s="2385"/>
      <c r="W116" s="2385"/>
      <c r="X116" s="2388"/>
    </row>
    <row r="117" spans="15:24" ht="20.100000000000001" customHeight="1">
      <c r="O117" s="2069" t="s">
        <v>2352</v>
      </c>
      <c r="P117" s="2073">
        <v>0.1</v>
      </c>
      <c r="S117" s="2387"/>
      <c r="T117" s="2385"/>
      <c r="U117" s="2385"/>
      <c r="V117" s="2385"/>
      <c r="W117" s="2385"/>
      <c r="X117" s="2388"/>
    </row>
    <row r="118" spans="15:24" ht="20.100000000000001" customHeight="1">
      <c r="O118" s="2065" t="s">
        <v>2350</v>
      </c>
      <c r="P118" s="2072">
        <v>0.1</v>
      </c>
      <c r="S118" s="1043"/>
      <c r="T118" s="1039"/>
      <c r="U118" s="1039"/>
      <c r="V118" s="1039"/>
      <c r="W118" s="1039"/>
      <c r="X118" s="1103" t="s">
        <v>1584</v>
      </c>
    </row>
    <row r="119" spans="15:24" ht="20.100000000000001" customHeight="1">
      <c r="O119" s="2069" t="s">
        <v>2351</v>
      </c>
      <c r="P119" s="2073">
        <v>0.1</v>
      </c>
      <c r="S119" s="2389" t="s">
        <v>62</v>
      </c>
      <c r="T119" s="2390"/>
      <c r="U119" s="2390"/>
      <c r="V119" s="2390"/>
      <c r="W119" s="2390"/>
      <c r="X119" s="2378" t="str">
        <f>LEFT(ADDRESS(1,COLUMN(W61),4),LEN(ADDRESS(1,COLUMN(),4))-1)</f>
        <v>W</v>
      </c>
    </row>
    <row r="120" spans="15:24" ht="20.100000000000001" customHeight="1" thickBot="1">
      <c r="O120" s="2067" t="s">
        <v>2137</v>
      </c>
      <c r="P120" s="2068">
        <v>0</v>
      </c>
      <c r="S120" s="1499" t="s">
        <v>61</v>
      </c>
      <c r="T120" s="1038" t="s">
        <v>60</v>
      </c>
      <c r="U120" s="1056" t="s">
        <v>63</v>
      </c>
      <c r="V120" s="1056"/>
      <c r="W120" s="1500"/>
      <c r="X120" s="2378"/>
    </row>
    <row r="121" spans="15:24" ht="20.100000000000001" customHeight="1">
      <c r="O121" s="2036"/>
      <c r="P121" s="2036"/>
      <c r="S121" s="1083" t="str">
        <f>LEFT(ADDRESS(1,COLUMN(S61),4),LEN(ADDRESS(1,COLUMN(),4))-1)</f>
        <v>S</v>
      </c>
      <c r="T121" s="1084" t="str">
        <f>LEFT(ADDRESS(1,COLUMN(T61),4),LEN(ADDRESS(1,COLUMN(),4))-1)</f>
        <v>T</v>
      </c>
      <c r="U121" s="1085" t="str">
        <f>LEFT(ADDRESS(1,COLUMN(U61),4),LEN(ADDRESS(1,COLUMN(),4))-1)</f>
        <v>U</v>
      </c>
      <c r="V121" s="1085"/>
      <c r="W121" s="1040"/>
      <c r="X121" s="1096"/>
    </row>
    <row r="122" spans="15:24" ht="20.100000000000001" customHeight="1">
      <c r="S122" s="1392" t="s">
        <v>1696</v>
      </c>
      <c r="T122" s="1393"/>
      <c r="U122" s="1393"/>
      <c r="V122" s="1393"/>
      <c r="W122" s="1393"/>
      <c r="X122" s="1394" t="str">
        <f>ADDRESS(ROW(U62),COLUMN(U62),4)</f>
        <v>U62</v>
      </c>
    </row>
    <row r="123" spans="15:24" ht="20.100000000000001" customHeight="1">
      <c r="S123" s="1045"/>
      <c r="T123" s="1041"/>
      <c r="U123" s="1041"/>
      <c r="V123" s="1041"/>
      <c r="W123" s="1041"/>
      <c r="X123" s="1098"/>
    </row>
    <row r="124" spans="15:24" ht="18.75">
      <c r="S124" s="1046" t="s">
        <v>1563</v>
      </c>
      <c r="T124" s="1047"/>
      <c r="U124" s="1047"/>
      <c r="V124" s="1047"/>
      <c r="W124" s="1047"/>
      <c r="X124" s="1099" t="str">
        <f>ADDRESS(ROW(S93),COLUMN(S93),4)</f>
        <v>S93</v>
      </c>
    </row>
    <row r="125" spans="15:24" ht="15.75" customHeight="1">
      <c r="S125" s="1048" t="s">
        <v>696</v>
      </c>
      <c r="T125" s="347"/>
      <c r="U125" s="347"/>
      <c r="V125" s="347"/>
      <c r="W125" s="710"/>
      <c r="X125" s="1049"/>
    </row>
    <row r="126" spans="15:24" ht="15.75">
      <c r="S126" s="1048"/>
      <c r="T126" s="710"/>
      <c r="U126" s="710"/>
      <c r="V126" s="710"/>
      <c r="W126" s="710"/>
      <c r="X126" s="1103" t="s">
        <v>1576</v>
      </c>
    </row>
    <row r="127" spans="15:24" ht="15" customHeight="1">
      <c r="S127" s="1395" t="s">
        <v>1564</v>
      </c>
      <c r="T127" s="1349"/>
      <c r="U127" s="1349"/>
      <c r="V127" s="1349"/>
      <c r="W127" s="1349"/>
      <c r="X127" s="1396" t="str">
        <f>ADDRESS(ROW(AC60),COLUMN(AC60),4)</f>
        <v>AC60</v>
      </c>
    </row>
    <row r="128" spans="15:24" ht="15" customHeight="1">
      <c r="S128" s="1066"/>
      <c r="T128" s="1067" t="s">
        <v>1583</v>
      </c>
      <c r="U128" s="710"/>
      <c r="V128" s="710"/>
      <c r="W128" s="710"/>
      <c r="X128" s="1100"/>
    </row>
    <row r="129" spans="19:24" ht="18.75">
      <c r="S129" s="1050" t="s">
        <v>1565</v>
      </c>
      <c r="T129" s="1036"/>
      <c r="U129" s="1036"/>
      <c r="V129" s="1036"/>
      <c r="W129" s="1036"/>
      <c r="X129" s="1101" t="str">
        <f>ADDRESS(ROW(AC62),COLUMN(AC62),4)</f>
        <v>AC62</v>
      </c>
    </row>
    <row r="130" spans="19:24" ht="15" customHeight="1">
      <c r="S130" s="1051"/>
      <c r="T130" s="1042"/>
      <c r="U130" s="1042"/>
      <c r="V130" s="1042"/>
      <c r="W130" s="1042"/>
      <c r="X130" s="1102"/>
    </row>
    <row r="131" spans="19:24" ht="15.75" customHeight="1">
      <c r="S131" s="1052" t="s">
        <v>1606</v>
      </c>
      <c r="T131" s="1037"/>
      <c r="U131" s="1037"/>
      <c r="V131" s="1037"/>
      <c r="W131" s="1037"/>
      <c r="X131" s="1498" t="str">
        <f>ADDRESS(ROW(D57),COLUMN(D57),4)</f>
        <v>D57</v>
      </c>
    </row>
    <row r="132" spans="19:24" ht="15" customHeight="1">
      <c r="S132" s="1053" t="s">
        <v>1561</v>
      </c>
      <c r="T132" s="347"/>
      <c r="U132" s="347"/>
      <c r="V132" s="347"/>
      <c r="W132" s="710"/>
      <c r="X132" s="1100"/>
    </row>
    <row r="133" spans="19:24" ht="15.75" customHeight="1">
      <c r="S133" s="1054"/>
      <c r="T133" s="710"/>
      <c r="U133" s="710"/>
      <c r="V133" s="710"/>
      <c r="W133" s="710"/>
      <c r="X133" s="1100"/>
    </row>
    <row r="134" spans="19:24" ht="15" customHeight="1">
      <c r="S134" s="2399" t="s">
        <v>1568</v>
      </c>
      <c r="T134" s="2400"/>
      <c r="U134" s="2400"/>
      <c r="V134" s="2400"/>
      <c r="W134" s="2400"/>
      <c r="X134" s="2401" t="str">
        <f>ADDRESS(ROW(D59),COLUMN(D59),4)</f>
        <v>D59</v>
      </c>
    </row>
    <row r="135" spans="19:24">
      <c r="S135" s="2399"/>
      <c r="T135" s="2400"/>
      <c r="U135" s="2400"/>
      <c r="V135" s="2400"/>
      <c r="W135" s="2400"/>
      <c r="X135" s="2401"/>
    </row>
    <row r="136" spans="19:24">
      <c r="S136" s="681"/>
      <c r="T136" s="1"/>
      <c r="U136" s="1"/>
      <c r="V136" s="1"/>
      <c r="W136" s="1"/>
      <c r="X136" s="2"/>
    </row>
    <row r="137" spans="19:24" ht="15" customHeight="1">
      <c r="S137" s="1397" t="s">
        <v>1582</v>
      </c>
      <c r="T137" s="1398"/>
      <c r="U137" s="1398"/>
      <c r="V137" s="1398"/>
      <c r="W137" s="1398"/>
      <c r="X137" s="2402" t="str">
        <f>ADDRESS(ROW(O57),COLUMN(O57),4)</f>
        <v>O57</v>
      </c>
    </row>
    <row r="138" spans="19:24" ht="15" customHeight="1">
      <c r="S138" s="2403" t="s">
        <v>1587</v>
      </c>
      <c r="T138" s="2404"/>
      <c r="U138" s="2404"/>
      <c r="V138" s="2404"/>
      <c r="W138" s="2404"/>
      <c r="X138" s="2402"/>
    </row>
    <row r="139" spans="19:24" ht="15" customHeight="1">
      <c r="S139" s="2522" t="s">
        <v>1601</v>
      </c>
      <c r="T139" s="2523"/>
      <c r="U139" s="2523"/>
      <c r="V139" s="2523"/>
      <c r="W139" s="2523"/>
      <c r="X139" s="2409" t="str">
        <f>ADDRESS(ROW(D57),COLUMN(D57),4)</f>
        <v>D57</v>
      </c>
    </row>
    <row r="140" spans="19:24" ht="15" customHeight="1">
      <c r="S140" s="2607"/>
      <c r="T140" s="2525"/>
      <c r="U140" s="2525"/>
      <c r="V140" s="2525"/>
      <c r="W140" s="2525"/>
      <c r="X140" s="2410"/>
    </row>
    <row r="141" spans="19:24" ht="19.5" customHeight="1">
      <c r="S141" s="2391" t="str">
        <f>ADDRESS(ROW(J57),COLUMN(J57),4)</f>
        <v>J57</v>
      </c>
      <c r="T141" s="2393" t="s">
        <v>1707</v>
      </c>
      <c r="U141" s="2393"/>
      <c r="V141" s="1505"/>
      <c r="W141" s="2395" t="s">
        <v>1708</v>
      </c>
      <c r="X141" s="2445">
        <f>P57</f>
        <v>74.074074074074076</v>
      </c>
    </row>
    <row r="142" spans="19:24" ht="15" customHeight="1">
      <c r="S142" s="2392"/>
      <c r="T142" s="2394"/>
      <c r="U142" s="2394"/>
      <c r="V142" s="1501"/>
      <c r="W142" s="2396"/>
      <c r="X142" s="2446"/>
    </row>
    <row r="143" spans="19:24" ht="15" customHeight="1">
      <c r="S143" s="1399" t="str">
        <f>ADDRESS(ROW(J59),COLUMN(J59),4)</f>
        <v>J59</v>
      </c>
      <c r="T143" s="1346" t="s">
        <v>1592</v>
      </c>
      <c r="U143" s="1347"/>
      <c r="V143" s="1347"/>
      <c r="W143" s="1506"/>
      <c r="X143" s="1400"/>
    </row>
    <row r="144" spans="19:24" ht="15" customHeight="1">
      <c r="S144" s="1796" t="str">
        <f>ADDRESS(ROW(J60),COLUMN(J60),4)</f>
        <v>J60</v>
      </c>
      <c r="T144" s="1080" t="s">
        <v>1591</v>
      </c>
      <c r="U144" s="1081"/>
      <c r="V144" s="1081"/>
      <c r="W144" s="1121" t="s">
        <v>1599</v>
      </c>
      <c r="X144" s="1122">
        <v>0.4</v>
      </c>
    </row>
    <row r="145" spans="12:24" ht="15" customHeight="1">
      <c r="S145" s="1137"/>
      <c r="T145" s="1133"/>
      <c r="U145" s="1134"/>
      <c r="V145" s="1134"/>
      <c r="W145" s="1135"/>
      <c r="X145" s="1136"/>
    </row>
    <row r="146" spans="12:24" ht="15" customHeight="1">
      <c r="S146" s="2527" t="s">
        <v>1714</v>
      </c>
      <c r="T146" s="2528"/>
      <c r="U146" s="2528"/>
      <c r="V146" s="2528"/>
      <c r="W146" s="2528"/>
      <c r="X146" s="1502" t="str">
        <f>ADDRESS(ROW(D94),COLUMN(D94),4)</f>
        <v>D94</v>
      </c>
    </row>
    <row r="147" spans="12:24" ht="15" customHeight="1">
      <c r="S147" s="681"/>
      <c r="T147" s="44"/>
      <c r="U147" s="44"/>
      <c r="V147" s="44"/>
      <c r="W147" s="44"/>
      <c r="X147" s="1401"/>
    </row>
    <row r="148" spans="12:24" ht="18.75">
      <c r="S148" s="2529" t="s">
        <v>1578</v>
      </c>
      <c r="T148" s="2530"/>
      <c r="U148" s="2530"/>
      <c r="V148" s="2531"/>
      <c r="W148" s="2531"/>
      <c r="X148" s="1502" t="str">
        <f>B94</f>
        <v>B94</v>
      </c>
    </row>
    <row r="149" spans="12:24" ht="18.75" customHeight="1" thickBot="1">
      <c r="S149" s="2532" t="s">
        <v>1579</v>
      </c>
      <c r="T149" s="2533"/>
      <c r="U149" s="2533"/>
      <c r="V149" s="2533"/>
      <c r="W149" s="2533"/>
      <c r="X149" s="1065" t="str">
        <f>B95</f>
        <v>B95</v>
      </c>
    </row>
    <row r="150" spans="12:24">
      <c r="S150" s="2534" t="s">
        <v>1580</v>
      </c>
      <c r="T150" s="2535"/>
      <c r="U150" s="2535"/>
      <c r="V150" s="2535"/>
      <c r="W150" s="2535"/>
      <c r="X150" s="2536" t="str">
        <f>B96</f>
        <v>B96</v>
      </c>
    </row>
    <row r="151" spans="12:24" ht="15" customHeight="1">
      <c r="S151" s="2534"/>
      <c r="T151" s="2535"/>
      <c r="U151" s="2535"/>
      <c r="V151" s="2535"/>
      <c r="W151" s="2535"/>
      <c r="X151" s="2537"/>
    </row>
    <row r="152" spans="12:24" ht="15" customHeight="1">
      <c r="S152" s="2534" t="s">
        <v>1581</v>
      </c>
      <c r="T152" s="2535"/>
      <c r="U152" s="2535"/>
      <c r="V152" s="2535"/>
      <c r="W152" s="2535"/>
      <c r="X152" s="2537" t="str">
        <f>B97</f>
        <v>B97</v>
      </c>
    </row>
    <row r="153" spans="12:24" ht="15" customHeight="1">
      <c r="S153" s="2534"/>
      <c r="T153" s="2535"/>
      <c r="U153" s="2535"/>
      <c r="V153" s="2535"/>
      <c r="W153" s="2535"/>
      <c r="X153" s="2537"/>
    </row>
    <row r="154" spans="12:24" ht="15" customHeight="1">
      <c r="S154" s="2372" t="s">
        <v>754</v>
      </c>
      <c r="T154" s="2373"/>
      <c r="U154" s="2373"/>
      <c r="V154" s="2373"/>
      <c r="W154" s="2373"/>
      <c r="X154" s="2374"/>
    </row>
    <row r="155" spans="12:24">
      <c r="S155" s="2372"/>
      <c r="T155" s="2373"/>
      <c r="U155" s="2373"/>
      <c r="V155" s="2373"/>
      <c r="W155" s="2373"/>
      <c r="X155" s="2374"/>
    </row>
    <row r="156" spans="12:24" ht="18.75">
      <c r="S156" s="2375" t="s">
        <v>756</v>
      </c>
      <c r="T156" s="2376"/>
      <c r="U156" s="2376"/>
      <c r="V156" s="2376"/>
      <c r="W156" s="2376"/>
      <c r="X156" s="2377"/>
    </row>
    <row r="157" spans="12:24" ht="19.5" thickBot="1">
      <c r="L157" s="58"/>
      <c r="M157" s="58"/>
      <c r="N157" s="58"/>
      <c r="Q157" s="58"/>
      <c r="S157" s="1123"/>
      <c r="T157" s="2365" t="s">
        <v>757</v>
      </c>
      <c r="U157" s="2365"/>
      <c r="V157" s="1504"/>
      <c r="W157" s="1124" t="str">
        <f>LEFT(ADDRESS(1,COLUMN(AX54),4),LEN(ADDRESS(1,COLUMN(AX54),4))-1)</f>
        <v>AX</v>
      </c>
      <c r="X157" s="1125"/>
    </row>
    <row r="158" spans="12:24">
      <c r="S158" s="2366" t="s">
        <v>151</v>
      </c>
      <c r="T158" s="2367"/>
      <c r="U158" s="2367"/>
      <c r="V158" s="2367"/>
      <c r="W158" s="2367"/>
      <c r="X158" s="2368"/>
    </row>
    <row r="159" spans="12:24">
      <c r="S159" s="2369"/>
      <c r="T159" s="2370"/>
      <c r="U159" s="2370"/>
      <c r="V159" s="2370"/>
      <c r="W159" s="2370"/>
      <c r="X159" s="2371"/>
    </row>
    <row r="160" spans="12:24">
      <c r="S160" s="2369"/>
      <c r="T160" s="2370"/>
      <c r="U160" s="2370"/>
      <c r="V160" s="2370"/>
      <c r="W160" s="2370"/>
      <c r="X160" s="2371"/>
    </row>
    <row r="161" spans="2:24" ht="16.5" thickBot="1">
      <c r="S161" s="1138"/>
      <c r="T161" s="1139"/>
      <c r="U161" s="1139"/>
      <c r="V161" s="1139"/>
      <c r="W161" s="1139"/>
      <c r="X161" s="1140"/>
    </row>
    <row r="162" spans="2:24">
      <c r="L162" s="58"/>
      <c r="M162" s="58"/>
      <c r="N162" s="58"/>
      <c r="Q162" s="58"/>
    </row>
    <row r="164" spans="2:24">
      <c r="B164" s="755"/>
      <c r="C164" s="755"/>
      <c r="D164" s="755"/>
      <c r="E164" s="755"/>
      <c r="F164" s="755"/>
      <c r="G164" s="755"/>
      <c r="H164" s="755"/>
      <c r="I164" s="755"/>
      <c r="J164" s="755"/>
      <c r="K164" s="755"/>
      <c r="L164" s="755"/>
      <c r="M164" s="755"/>
      <c r="N164" s="755"/>
      <c r="Q164" s="755"/>
      <c r="R164" s="755"/>
      <c r="S164" s="755"/>
      <c r="T164" s="755"/>
    </row>
    <row r="165" spans="2:24">
      <c r="B165" s="755"/>
      <c r="C165" s="755"/>
      <c r="D165" s="755"/>
      <c r="E165" s="755"/>
      <c r="F165" s="755"/>
      <c r="G165" s="755"/>
      <c r="H165" s="755"/>
      <c r="I165" s="755"/>
      <c r="J165" s="755"/>
      <c r="K165" s="755"/>
      <c r="L165" s="755"/>
      <c r="M165" s="755"/>
      <c r="N165" s="755"/>
      <c r="Q165" s="755"/>
      <c r="R165" s="755"/>
      <c r="S165" s="755"/>
      <c r="T165" s="755"/>
    </row>
    <row r="166" spans="2:24">
      <c r="B166" s="755"/>
      <c r="C166" s="755"/>
      <c r="D166" s="755"/>
      <c r="E166" s="755"/>
      <c r="F166" s="755"/>
      <c r="G166" s="755"/>
      <c r="H166" s="755"/>
      <c r="I166" s="755"/>
      <c r="J166" s="755"/>
      <c r="K166" s="755"/>
      <c r="L166" s="755"/>
      <c r="M166" s="755"/>
      <c r="N166" s="755"/>
      <c r="Q166" s="755"/>
      <c r="R166" s="755"/>
      <c r="S166" s="755"/>
      <c r="T166" s="755"/>
    </row>
    <row r="167" spans="2:24">
      <c r="B167" s="755"/>
      <c r="C167" s="755"/>
      <c r="D167" s="755"/>
      <c r="E167" s="755"/>
      <c r="F167" s="755"/>
      <c r="G167" s="755"/>
      <c r="H167" s="755"/>
      <c r="I167" s="755"/>
      <c r="J167" s="755"/>
      <c r="K167" s="755"/>
      <c r="L167" s="755"/>
      <c r="M167" s="755"/>
      <c r="N167" s="755"/>
      <c r="Q167" s="755"/>
      <c r="R167" s="755"/>
      <c r="S167" s="755"/>
      <c r="T167" s="755"/>
    </row>
    <row r="168" spans="2:24">
      <c r="B168" s="755"/>
      <c r="C168" s="755"/>
      <c r="D168" s="755"/>
      <c r="E168" s="755"/>
      <c r="F168" s="755"/>
      <c r="G168" s="755"/>
      <c r="H168" s="755"/>
      <c r="I168" s="755"/>
      <c r="J168" s="755"/>
      <c r="K168" s="755"/>
      <c r="L168" s="755"/>
      <c r="M168" s="755"/>
      <c r="N168" s="755"/>
      <c r="Q168" s="755"/>
      <c r="R168" s="755"/>
      <c r="S168" s="755"/>
      <c r="T168" s="755"/>
    </row>
    <row r="169" spans="2:24">
      <c r="B169" s="755"/>
      <c r="C169" s="755"/>
      <c r="D169" s="755"/>
      <c r="E169" s="755"/>
      <c r="F169" s="755"/>
      <c r="G169" s="755"/>
      <c r="H169" s="755"/>
      <c r="I169" s="755"/>
      <c r="J169" s="755"/>
      <c r="K169" s="755"/>
      <c r="L169" s="755"/>
      <c r="M169" s="755"/>
      <c r="N169" s="755"/>
      <c r="Q169" s="755"/>
      <c r="R169" s="755"/>
      <c r="S169" s="755"/>
      <c r="T169" s="755"/>
    </row>
    <row r="170" spans="2:24">
      <c r="B170" s="755"/>
      <c r="C170" s="755"/>
      <c r="D170" s="755"/>
      <c r="E170" s="755"/>
      <c r="F170" s="755"/>
      <c r="G170" s="755"/>
      <c r="H170" s="755"/>
      <c r="I170" s="755"/>
      <c r="J170" s="755"/>
      <c r="K170" s="755"/>
      <c r="L170" s="755"/>
      <c r="M170" s="755"/>
      <c r="N170" s="755"/>
      <c r="Q170" s="755"/>
      <c r="R170" s="755"/>
      <c r="S170" s="755"/>
      <c r="T170" s="755"/>
    </row>
    <row r="171" spans="2:24" ht="15" customHeight="1">
      <c r="B171" s="755"/>
      <c r="C171" s="755"/>
      <c r="D171" s="755"/>
      <c r="E171" s="755"/>
      <c r="F171" s="755"/>
      <c r="G171" s="755"/>
      <c r="H171" s="755"/>
      <c r="I171" s="755"/>
      <c r="J171" s="755"/>
      <c r="K171" s="755"/>
      <c r="L171" s="755"/>
      <c r="M171" s="755"/>
      <c r="N171" s="755"/>
      <c r="Q171" s="755"/>
      <c r="R171" s="755"/>
      <c r="S171" s="755"/>
      <c r="T171" s="755"/>
    </row>
    <row r="172" spans="2:24" ht="15" customHeight="1">
      <c r="B172" s="755"/>
      <c r="C172" s="755"/>
      <c r="D172" s="755"/>
      <c r="E172" s="755"/>
      <c r="F172" s="755"/>
      <c r="G172" s="755"/>
      <c r="H172" s="755"/>
      <c r="I172" s="755"/>
      <c r="J172" s="755"/>
      <c r="K172" s="755"/>
      <c r="L172" s="755"/>
      <c r="M172" s="755"/>
      <c r="N172" s="755"/>
      <c r="Q172" s="755"/>
      <c r="R172" s="755"/>
      <c r="S172" s="755"/>
      <c r="T172" s="755"/>
    </row>
    <row r="173" spans="2:24" ht="15" customHeight="1">
      <c r="B173" s="755"/>
      <c r="C173" s="755"/>
      <c r="D173" s="755"/>
      <c r="E173" s="755"/>
      <c r="F173" s="755"/>
      <c r="G173" s="755"/>
      <c r="H173" s="755"/>
      <c r="I173" s="755"/>
      <c r="J173" s="755"/>
      <c r="K173" s="755"/>
      <c r="L173" s="755"/>
      <c r="M173" s="755"/>
      <c r="N173" s="755"/>
      <c r="Q173" s="755"/>
      <c r="R173" s="755"/>
      <c r="S173" s="755"/>
      <c r="T173" s="755"/>
    </row>
    <row r="174" spans="2:24" ht="15" customHeight="1">
      <c r="B174" s="755"/>
      <c r="C174" s="755"/>
      <c r="D174" s="755"/>
      <c r="E174" s="755"/>
      <c r="F174" s="755"/>
      <c r="G174" s="755"/>
      <c r="H174" s="755"/>
      <c r="I174" s="755"/>
      <c r="J174" s="755"/>
      <c r="K174" s="755"/>
      <c r="L174" s="755"/>
      <c r="M174" s="755"/>
      <c r="N174" s="755"/>
      <c r="Q174" s="755"/>
      <c r="R174" s="755"/>
      <c r="S174" s="755"/>
      <c r="T174" s="755"/>
    </row>
    <row r="175" spans="2:24" ht="15" customHeight="1">
      <c r="B175" s="755"/>
      <c r="C175" s="755"/>
      <c r="D175" s="755"/>
      <c r="E175" s="755"/>
      <c r="F175" s="755"/>
      <c r="G175" s="755"/>
      <c r="H175" s="755"/>
      <c r="I175" s="755"/>
      <c r="J175" s="755"/>
      <c r="K175" s="755"/>
      <c r="L175" s="755"/>
      <c r="M175" s="755"/>
      <c r="N175" s="755"/>
      <c r="Q175" s="755"/>
      <c r="R175" s="755"/>
    </row>
    <row r="176" spans="2:24" ht="15" customHeight="1">
      <c r="B176" s="755"/>
      <c r="C176" s="755"/>
      <c r="D176" s="755"/>
      <c r="E176" s="755"/>
      <c r="F176" s="755"/>
      <c r="G176" s="755"/>
      <c r="H176" s="755"/>
      <c r="I176" s="755"/>
      <c r="J176" s="755"/>
      <c r="K176" s="755"/>
      <c r="L176" s="755"/>
      <c r="M176" s="755"/>
      <c r="N176" s="755"/>
      <c r="Q176" s="755"/>
      <c r="R176" s="755"/>
    </row>
    <row r="177" spans="2:18" ht="15" customHeight="1">
      <c r="B177" s="755"/>
      <c r="C177" s="755"/>
      <c r="D177" s="755"/>
      <c r="E177" s="755"/>
      <c r="F177" s="755"/>
      <c r="G177" s="755"/>
      <c r="H177" s="755"/>
      <c r="I177" s="755"/>
      <c r="J177" s="755"/>
      <c r="K177" s="755"/>
      <c r="L177" s="755"/>
      <c r="M177" s="755"/>
      <c r="N177" s="755"/>
      <c r="Q177" s="755"/>
      <c r="R177" s="755"/>
    </row>
    <row r="178" spans="2:18" ht="15" customHeight="1">
      <c r="B178" s="755"/>
      <c r="C178" s="755"/>
      <c r="D178" s="755"/>
      <c r="E178" s="755"/>
      <c r="F178" s="755"/>
      <c r="G178" s="755"/>
      <c r="H178" s="755"/>
      <c r="I178" s="755"/>
      <c r="J178" s="755"/>
      <c r="K178" s="755"/>
      <c r="L178" s="755"/>
      <c r="M178" s="755"/>
      <c r="N178" s="755"/>
      <c r="Q178" s="755"/>
      <c r="R178" s="755"/>
    </row>
    <row r="179" spans="2:18" ht="15" customHeight="1">
      <c r="B179" s="755"/>
      <c r="C179" s="755"/>
      <c r="D179" s="755"/>
      <c r="E179" s="755"/>
      <c r="F179" s="755"/>
      <c r="G179" s="755"/>
      <c r="H179" s="755"/>
      <c r="I179" s="755"/>
      <c r="J179" s="755"/>
      <c r="K179" s="755"/>
      <c r="L179" s="755"/>
      <c r="M179" s="755"/>
      <c r="N179" s="755"/>
      <c r="Q179" s="755"/>
      <c r="R179" s="755"/>
    </row>
    <row r="180" spans="2:18" ht="15" customHeight="1">
      <c r="B180" s="755"/>
      <c r="C180" s="755"/>
      <c r="D180" s="755"/>
      <c r="E180" s="755"/>
      <c r="F180" s="755"/>
      <c r="G180" s="755"/>
      <c r="H180" s="755"/>
      <c r="I180" s="755"/>
      <c r="J180" s="755"/>
      <c r="K180" s="755"/>
      <c r="L180" s="755"/>
      <c r="M180" s="755"/>
      <c r="N180" s="755"/>
      <c r="Q180" s="755"/>
      <c r="R180" s="755"/>
    </row>
    <row r="181" spans="2:18" ht="15" customHeight="1">
      <c r="B181" s="755"/>
      <c r="C181" s="755"/>
      <c r="D181" s="755"/>
      <c r="E181" s="755"/>
      <c r="F181" s="755"/>
      <c r="G181" s="755"/>
      <c r="H181" s="755"/>
      <c r="I181" s="755"/>
      <c r="J181" s="755"/>
      <c r="K181" s="755"/>
      <c r="L181" s="755"/>
      <c r="M181" s="755"/>
      <c r="N181" s="755"/>
      <c r="Q181" s="755"/>
      <c r="R181" s="755"/>
    </row>
    <row r="182" spans="2:18" ht="15" customHeight="1">
      <c r="B182" s="755"/>
      <c r="C182" s="755"/>
      <c r="D182" s="755"/>
      <c r="E182" s="755"/>
      <c r="F182" s="755"/>
      <c r="G182" s="755"/>
      <c r="H182" s="755"/>
      <c r="I182" s="755"/>
      <c r="J182" s="755"/>
      <c r="K182" s="755"/>
      <c r="L182" s="755"/>
      <c r="M182" s="755"/>
      <c r="N182" s="755"/>
      <c r="Q182" s="755"/>
      <c r="R182" s="755"/>
    </row>
    <row r="183" spans="2:18">
      <c r="B183" s="755"/>
      <c r="C183" s="755"/>
      <c r="D183" s="755"/>
      <c r="E183" s="755"/>
      <c r="F183" s="755"/>
      <c r="G183" s="755"/>
      <c r="H183" s="755"/>
      <c r="I183" s="755"/>
      <c r="J183" s="755"/>
      <c r="K183" s="755"/>
      <c r="L183" s="755"/>
      <c r="M183" s="755"/>
      <c r="N183" s="755"/>
      <c r="Q183" s="755"/>
      <c r="R183" s="755"/>
    </row>
    <row r="184" spans="2:18">
      <c r="B184" s="755"/>
      <c r="C184" s="755"/>
      <c r="D184" s="755"/>
      <c r="E184" s="755"/>
      <c r="F184" s="755"/>
      <c r="G184" s="755"/>
      <c r="H184" s="755"/>
      <c r="I184" s="755"/>
      <c r="J184" s="755"/>
      <c r="K184" s="755"/>
      <c r="L184" s="755"/>
      <c r="M184" s="755"/>
      <c r="N184" s="755"/>
      <c r="Q184" s="755"/>
      <c r="R184" s="755"/>
    </row>
    <row r="185" spans="2:18">
      <c r="B185" s="755"/>
      <c r="C185" s="755"/>
      <c r="D185" s="755"/>
      <c r="E185" s="755"/>
      <c r="F185" s="755"/>
      <c r="G185" s="755"/>
      <c r="H185" s="755"/>
      <c r="I185" s="755"/>
      <c r="J185" s="755"/>
      <c r="K185" s="755"/>
      <c r="L185" s="755"/>
      <c r="M185" s="755"/>
      <c r="N185" s="755"/>
      <c r="Q185" s="755"/>
      <c r="R185" s="755"/>
    </row>
    <row r="186" spans="2:18">
      <c r="B186" s="755"/>
      <c r="C186" s="755"/>
      <c r="D186" s="755"/>
      <c r="E186" s="755"/>
      <c r="F186" s="755"/>
      <c r="G186" s="755"/>
      <c r="H186" s="755"/>
      <c r="I186" s="755"/>
      <c r="J186" s="755"/>
      <c r="K186" s="755"/>
      <c r="L186" s="755"/>
      <c r="M186" s="755"/>
      <c r="N186" s="755"/>
      <c r="Q186" s="755"/>
      <c r="R186" s="755"/>
    </row>
    <row r="187" spans="2:18">
      <c r="B187" s="755"/>
      <c r="C187" s="755"/>
      <c r="D187" s="755"/>
      <c r="E187" s="755"/>
      <c r="F187" s="755"/>
      <c r="G187" s="755"/>
      <c r="H187" s="755"/>
      <c r="I187" s="755"/>
      <c r="J187" s="755"/>
      <c r="K187" s="755"/>
      <c r="L187" s="755"/>
      <c r="M187" s="755"/>
      <c r="N187" s="755"/>
      <c r="Q187" s="755"/>
      <c r="R187" s="755"/>
    </row>
    <row r="188" spans="2:18">
      <c r="B188" s="755"/>
      <c r="C188" s="755"/>
      <c r="D188" s="755"/>
      <c r="E188" s="755"/>
      <c r="F188" s="755"/>
      <c r="G188" s="755"/>
      <c r="H188" s="755"/>
      <c r="I188" s="755"/>
      <c r="J188" s="755"/>
      <c r="K188" s="755"/>
      <c r="L188" s="755"/>
      <c r="M188" s="755"/>
      <c r="N188" s="755"/>
      <c r="Q188" s="755"/>
      <c r="R188" s="755"/>
    </row>
    <row r="189" spans="2:18">
      <c r="B189" s="755"/>
      <c r="C189" s="755"/>
      <c r="D189" s="755"/>
      <c r="E189" s="755"/>
      <c r="F189" s="755"/>
      <c r="G189" s="755"/>
      <c r="H189" s="755"/>
      <c r="I189" s="755"/>
      <c r="J189" s="755"/>
      <c r="K189" s="755"/>
      <c r="L189" s="755"/>
      <c r="M189" s="755"/>
      <c r="N189" s="755"/>
      <c r="Q189" s="755"/>
      <c r="R189" s="755"/>
    </row>
    <row r="190" spans="2:18">
      <c r="B190" s="755"/>
      <c r="C190" s="755"/>
      <c r="D190" s="755"/>
      <c r="E190" s="755"/>
      <c r="F190" s="755"/>
      <c r="G190" s="755"/>
      <c r="H190" s="755"/>
      <c r="I190" s="755"/>
      <c r="J190" s="755"/>
      <c r="K190" s="755"/>
      <c r="L190" s="755"/>
      <c r="M190" s="755"/>
      <c r="N190" s="755"/>
      <c r="Q190" s="755"/>
      <c r="R190" s="755"/>
    </row>
    <row r="191" spans="2:18">
      <c r="B191" s="755"/>
      <c r="C191" s="755"/>
      <c r="D191" s="755"/>
      <c r="E191" s="755"/>
      <c r="F191" s="755"/>
      <c r="G191" s="755"/>
      <c r="H191" s="755"/>
      <c r="I191" s="755"/>
      <c r="J191" s="755"/>
      <c r="K191" s="755"/>
      <c r="L191" s="755"/>
      <c r="M191" s="755"/>
      <c r="N191" s="755"/>
      <c r="Q191" s="755"/>
      <c r="R191" s="755"/>
    </row>
    <row r="192" spans="2:18">
      <c r="B192" s="755"/>
      <c r="C192" s="755"/>
      <c r="D192" s="755"/>
      <c r="E192" s="755"/>
      <c r="F192" s="755"/>
      <c r="G192" s="755"/>
      <c r="H192" s="755"/>
      <c r="I192" s="755"/>
      <c r="J192" s="755"/>
      <c r="K192" s="755"/>
      <c r="L192" s="755"/>
      <c r="M192" s="755"/>
      <c r="N192" s="755"/>
      <c r="Q192" s="755"/>
      <c r="R192" s="755"/>
    </row>
    <row r="193" spans="2:20">
      <c r="B193" s="755"/>
      <c r="C193" s="755"/>
      <c r="D193" s="755"/>
      <c r="E193" s="755"/>
      <c r="F193" s="755"/>
      <c r="G193" s="755"/>
      <c r="H193" s="755"/>
      <c r="I193" s="755"/>
      <c r="J193" s="755"/>
      <c r="K193" s="755"/>
      <c r="L193" s="755"/>
      <c r="M193" s="755"/>
      <c r="N193" s="755"/>
      <c r="Q193" s="755"/>
      <c r="R193" s="755"/>
    </row>
    <row r="194" spans="2:20">
      <c r="B194" s="755"/>
      <c r="C194" s="755"/>
      <c r="D194" s="755"/>
      <c r="E194" s="755"/>
      <c r="F194" s="755"/>
      <c r="G194" s="755"/>
      <c r="H194" s="755"/>
      <c r="I194" s="755"/>
      <c r="J194" s="755"/>
      <c r="K194" s="755"/>
      <c r="L194" s="755"/>
      <c r="M194" s="755"/>
      <c r="N194" s="755"/>
      <c r="Q194" s="755"/>
      <c r="R194" s="755"/>
    </row>
    <row r="195" spans="2:20">
      <c r="B195" s="755"/>
      <c r="C195" s="755"/>
      <c r="D195" s="755"/>
      <c r="E195" s="755"/>
      <c r="F195" s="755"/>
      <c r="G195" s="755"/>
      <c r="H195" s="755"/>
      <c r="I195" s="755"/>
      <c r="J195" s="755"/>
      <c r="K195" s="755"/>
      <c r="L195" s="755"/>
      <c r="M195" s="755"/>
      <c r="N195" s="755"/>
      <c r="Q195" s="755"/>
      <c r="R195" s="755"/>
    </row>
    <row r="196" spans="2:20">
      <c r="B196" s="755"/>
      <c r="C196" s="755"/>
      <c r="D196" s="755"/>
      <c r="E196" s="755"/>
      <c r="F196" s="755"/>
      <c r="G196" s="755"/>
      <c r="H196" s="755"/>
      <c r="I196" s="755"/>
      <c r="J196" s="755"/>
      <c r="K196" s="755"/>
      <c r="L196" s="755"/>
      <c r="M196" s="755"/>
      <c r="N196" s="755"/>
      <c r="Q196" s="755"/>
      <c r="R196" s="755"/>
      <c r="S196" s="755"/>
      <c r="T196" s="755"/>
    </row>
    <row r="197" spans="2:20">
      <c r="B197" s="755"/>
      <c r="C197" s="755"/>
      <c r="D197" s="755"/>
      <c r="E197" s="755"/>
      <c r="F197" s="755"/>
      <c r="G197" s="755"/>
      <c r="H197" s="755"/>
      <c r="I197" s="755"/>
      <c r="J197" s="755"/>
      <c r="K197" s="755"/>
      <c r="L197" s="755"/>
      <c r="M197" s="755"/>
      <c r="N197" s="755"/>
      <c r="Q197" s="755"/>
      <c r="R197" s="755"/>
      <c r="S197" s="755"/>
      <c r="T197" s="755"/>
    </row>
    <row r="198" spans="2:20">
      <c r="B198" s="755"/>
      <c r="C198" s="755"/>
      <c r="D198" s="755"/>
      <c r="E198" s="755"/>
      <c r="F198" s="755"/>
      <c r="G198" s="755"/>
      <c r="H198" s="755"/>
      <c r="I198" s="755"/>
      <c r="J198" s="755"/>
      <c r="K198" s="755"/>
      <c r="L198" s="755"/>
      <c r="M198" s="755"/>
      <c r="N198" s="755"/>
      <c r="Q198" s="755"/>
      <c r="R198" s="755"/>
      <c r="S198" s="755"/>
      <c r="T198" s="755"/>
    </row>
    <row r="199" spans="2:20">
      <c r="B199" s="755"/>
      <c r="C199" s="755"/>
      <c r="D199" s="755"/>
      <c r="E199" s="755"/>
      <c r="F199" s="755"/>
      <c r="G199" s="755"/>
      <c r="H199" s="755"/>
      <c r="I199" s="755"/>
      <c r="J199" s="755"/>
      <c r="K199" s="755"/>
      <c r="L199" s="755"/>
      <c r="M199" s="755"/>
      <c r="N199" s="755"/>
      <c r="Q199" s="755"/>
      <c r="R199" s="755"/>
      <c r="S199" s="755"/>
      <c r="T199" s="755"/>
    </row>
    <row r="200" spans="2:20">
      <c r="B200" s="755"/>
      <c r="C200" s="755"/>
      <c r="D200" s="755"/>
      <c r="E200" s="755"/>
      <c r="F200" s="755"/>
      <c r="G200" s="755"/>
      <c r="H200" s="755"/>
      <c r="I200" s="755"/>
      <c r="J200" s="755"/>
      <c r="K200" s="755"/>
      <c r="L200" s="755"/>
      <c r="M200" s="755"/>
      <c r="N200" s="755"/>
      <c r="Q200" s="755"/>
      <c r="R200" s="755"/>
      <c r="S200" s="755"/>
      <c r="T200" s="755"/>
    </row>
    <row r="201" spans="2:20">
      <c r="B201" s="755"/>
      <c r="C201" s="755"/>
      <c r="D201" s="755"/>
      <c r="E201" s="755"/>
      <c r="F201" s="755"/>
      <c r="G201" s="755"/>
      <c r="H201" s="755"/>
      <c r="I201" s="755"/>
      <c r="J201" s="755"/>
      <c r="K201" s="755"/>
      <c r="L201" s="755"/>
      <c r="M201" s="755"/>
      <c r="N201" s="755"/>
      <c r="Q201" s="755"/>
      <c r="R201" s="755"/>
      <c r="S201" s="755"/>
      <c r="T201" s="755"/>
    </row>
    <row r="202" spans="2:20">
      <c r="B202" s="755"/>
      <c r="C202" s="755"/>
      <c r="D202" s="755"/>
      <c r="E202" s="755"/>
      <c r="F202" s="755"/>
      <c r="G202" s="755"/>
      <c r="H202" s="755"/>
      <c r="I202" s="755"/>
      <c r="J202" s="755"/>
      <c r="K202" s="755"/>
      <c r="L202" s="755"/>
      <c r="M202" s="755"/>
      <c r="N202" s="755"/>
      <c r="Q202" s="755"/>
      <c r="R202" s="755"/>
      <c r="S202" s="755"/>
      <c r="T202" s="755"/>
    </row>
    <row r="203" spans="2:20">
      <c r="B203" s="755"/>
      <c r="C203" s="755"/>
      <c r="D203" s="755"/>
      <c r="E203" s="755"/>
      <c r="F203" s="755"/>
      <c r="G203" s="755"/>
      <c r="H203" s="755"/>
      <c r="I203" s="755"/>
      <c r="J203" s="755"/>
      <c r="K203" s="755"/>
      <c r="L203" s="755"/>
      <c r="M203" s="755"/>
      <c r="N203" s="755"/>
      <c r="Q203" s="755"/>
      <c r="R203" s="755"/>
      <c r="S203" s="755"/>
      <c r="T203" s="755"/>
    </row>
  </sheetData>
  <mergeCells count="80">
    <mergeCell ref="AO58:AR59"/>
    <mergeCell ref="Y57:AA59"/>
    <mergeCell ref="AB57:AB60"/>
    <mergeCell ref="AC57:AF59"/>
    <mergeCell ref="E58:F58"/>
    <mergeCell ref="AH58:AJ59"/>
    <mergeCell ref="AK58:AN59"/>
    <mergeCell ref="P59:P60"/>
    <mergeCell ref="E60:E61"/>
    <mergeCell ref="Y60:AA60"/>
    <mergeCell ref="B2:Q2"/>
    <mergeCell ref="B53:Q53"/>
    <mergeCell ref="S53:X53"/>
    <mergeCell ref="Y53:AF53"/>
    <mergeCell ref="B54:G54"/>
    <mergeCell ref="J54:O54"/>
    <mergeCell ref="T54:W54"/>
    <mergeCell ref="AH54:AV54"/>
    <mergeCell ref="A55:A97"/>
    <mergeCell ref="I55:I97"/>
    <mergeCell ref="Q55:Q96"/>
    <mergeCell ref="T55:X55"/>
    <mergeCell ref="Y55:AF56"/>
    <mergeCell ref="AH55:AV56"/>
    <mergeCell ref="O56:P56"/>
    <mergeCell ref="W56:X56"/>
    <mergeCell ref="B57:C57"/>
    <mergeCell ref="D57:D58"/>
    <mergeCell ref="J57:J58"/>
    <mergeCell ref="K57:L58"/>
    <mergeCell ref="O57:O58"/>
    <mergeCell ref="P57:P58"/>
    <mergeCell ref="AS58:AV59"/>
    <mergeCell ref="C101:G101"/>
    <mergeCell ref="S101:X102"/>
    <mergeCell ref="Z101:Z103"/>
    <mergeCell ref="AA101:AA103"/>
    <mergeCell ref="S103:X103"/>
    <mergeCell ref="C99:G99"/>
    <mergeCell ref="T99:X100"/>
    <mergeCell ref="Z99:AE99"/>
    <mergeCell ref="Z100:AA100"/>
    <mergeCell ref="AD100:AE100"/>
    <mergeCell ref="S93:S94"/>
    <mergeCell ref="H94:H95"/>
    <mergeCell ref="X137:X138"/>
    <mergeCell ref="S138:W138"/>
    <mergeCell ref="S105:W105"/>
    <mergeCell ref="S107:W109"/>
    <mergeCell ref="T112:W112"/>
    <mergeCell ref="S113:S114"/>
    <mergeCell ref="T113:W114"/>
    <mergeCell ref="X113:X114"/>
    <mergeCell ref="S116:X117"/>
    <mergeCell ref="S119:W119"/>
    <mergeCell ref="X119:X120"/>
    <mergeCell ref="S134:W135"/>
    <mergeCell ref="X134:X135"/>
    <mergeCell ref="H96:H97"/>
    <mergeCell ref="X139:X140"/>
    <mergeCell ref="S141:S142"/>
    <mergeCell ref="T141:U142"/>
    <mergeCell ref="W141:W142"/>
    <mergeCell ref="X141:X142"/>
    <mergeCell ref="S154:X155"/>
    <mergeCell ref="S156:X156"/>
    <mergeCell ref="T157:U157"/>
    <mergeCell ref="S158:X160"/>
    <mergeCell ref="C45:H45"/>
    <mergeCell ref="C47:H47"/>
    <mergeCell ref="C49:H49"/>
    <mergeCell ref="C51:H51"/>
    <mergeCell ref="S146:W146"/>
    <mergeCell ref="S148:W148"/>
    <mergeCell ref="S149:W149"/>
    <mergeCell ref="S150:W151"/>
    <mergeCell ref="X150:X151"/>
    <mergeCell ref="S152:W153"/>
    <mergeCell ref="X152:X153"/>
    <mergeCell ref="S139:W140"/>
  </mergeCells>
  <hyperlinks>
    <hyperlink ref="C99" r:id="rId1"/>
    <hyperlink ref="C101:G101" r:id="rId2" display="Visuellement, ça représente quoi 100 calories ?"/>
    <hyperlink ref="U93" r:id="rId3"/>
    <hyperlink ref="C45" r:id="rId4"/>
    <hyperlink ref="C47" r:id="rId5"/>
    <hyperlink ref="C49" r:id="rId6"/>
    <hyperlink ref="C51" r:id="rId7"/>
  </hyperlinks>
  <printOptions horizontalCentered="1"/>
  <pageMargins left="0.25" right="0.25" top="0.75" bottom="0.75" header="0.3" footer="0.3"/>
  <pageSetup paperSize="9" scale="18" orientation="landscape" r:id="rId8"/>
  <drawing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pageSetUpPr fitToPage="1"/>
  </sheetPr>
  <dimension ref="A1:X129"/>
  <sheetViews>
    <sheetView showZeros="0" zoomScaleNormal="100" workbookViewId="0">
      <selection activeCell="F17" sqref="F17"/>
    </sheetView>
  </sheetViews>
  <sheetFormatPr baseColWidth="10" defaultRowHeight="15"/>
  <cols>
    <col min="1" max="1" width="2" customWidth="1"/>
    <col min="2" max="2" width="8.7109375" customWidth="1"/>
    <col min="3" max="3" width="10.7109375" customWidth="1"/>
    <col min="4" max="4" width="16.7109375" customWidth="1"/>
    <col min="5" max="5" width="60.7109375" customWidth="1"/>
    <col min="6" max="6" width="12.7109375" customWidth="1"/>
    <col min="7" max="7" width="2" customWidth="1"/>
    <col min="8" max="8" width="9.7109375" customWidth="1"/>
    <col min="9" max="9" width="10.7109375" customWidth="1"/>
    <col min="10" max="10" width="16.7109375" customWidth="1"/>
    <col min="11" max="11" width="60.7109375" customWidth="1"/>
    <col min="12" max="12" width="12.7109375" customWidth="1"/>
    <col min="13" max="13" width="2.28515625" customWidth="1"/>
    <col min="14" max="14" width="6.7109375" customWidth="1"/>
    <col min="15" max="15" width="8.7109375" customWidth="1"/>
    <col min="16" max="16" width="10.7109375" customWidth="1"/>
    <col min="17" max="17" width="16.7109375" customWidth="1"/>
    <col min="18" max="18" width="60.7109375" customWidth="1"/>
    <col min="19" max="23" width="12.7109375" customWidth="1"/>
  </cols>
  <sheetData>
    <row r="1" spans="1:24" ht="18.95" customHeight="1">
      <c r="A1" s="55">
        <v>1.29</v>
      </c>
      <c r="B1" s="52">
        <v>8</v>
      </c>
      <c r="C1" s="52">
        <v>10</v>
      </c>
      <c r="D1" s="52">
        <v>16</v>
      </c>
      <c r="E1" s="52">
        <v>60</v>
      </c>
      <c r="F1" s="52">
        <v>12</v>
      </c>
      <c r="G1" s="52"/>
      <c r="H1" s="52">
        <v>9</v>
      </c>
      <c r="I1" s="52">
        <v>10</v>
      </c>
      <c r="J1" s="52">
        <v>16</v>
      </c>
      <c r="K1" s="52">
        <v>60</v>
      </c>
      <c r="L1" s="52">
        <v>12</v>
      </c>
      <c r="M1" s="741">
        <v>1.57</v>
      </c>
      <c r="N1" s="52">
        <v>6</v>
      </c>
      <c r="O1" s="52">
        <v>8</v>
      </c>
      <c r="P1" s="52">
        <v>10</v>
      </c>
      <c r="Q1" s="52">
        <v>16</v>
      </c>
      <c r="R1" s="52">
        <v>60</v>
      </c>
      <c r="S1" s="52">
        <v>12</v>
      </c>
      <c r="T1" s="52">
        <v>12</v>
      </c>
      <c r="U1" s="52">
        <v>12</v>
      </c>
      <c r="V1" s="52">
        <v>12</v>
      </c>
      <c r="W1" s="52">
        <v>12</v>
      </c>
      <c r="X1" t="s">
        <v>740</v>
      </c>
    </row>
    <row r="2" spans="1:24" ht="83.25" customHeight="1">
      <c r="B2" s="2475" t="s">
        <v>2205</v>
      </c>
      <c r="C2" s="2476"/>
      <c r="D2" s="2476"/>
      <c r="E2" s="2476"/>
      <c r="F2" s="2476"/>
      <c r="G2" s="2476"/>
      <c r="H2" s="2476"/>
      <c r="I2" s="2476"/>
      <c r="J2" s="2476"/>
      <c r="K2" s="2476"/>
      <c r="L2" s="2476"/>
      <c r="M2" s="2476"/>
      <c r="N2" s="1931"/>
      <c r="O2" s="1931"/>
      <c r="P2" s="1931"/>
      <c r="Q2" s="1931"/>
      <c r="R2" s="1931"/>
      <c r="S2" s="1931"/>
      <c r="T2" s="1931"/>
      <c r="U2" s="1931"/>
      <c r="V2" s="1931"/>
      <c r="W2" s="1931"/>
    </row>
    <row r="3" spans="1:24" ht="18.95" customHeight="1" thickBot="1">
      <c r="A3" s="55"/>
      <c r="B3" s="52"/>
      <c r="C3" s="52"/>
      <c r="D3" s="52"/>
      <c r="E3" s="52"/>
      <c r="F3" s="52"/>
      <c r="G3" s="52"/>
      <c r="H3" s="52"/>
      <c r="I3" s="52"/>
      <c r="J3" s="52"/>
      <c r="K3" s="52"/>
      <c r="L3" s="52"/>
      <c r="M3" s="54"/>
      <c r="O3" s="52"/>
      <c r="P3" s="52"/>
      <c r="Q3" s="52"/>
      <c r="R3" s="52"/>
      <c r="S3" s="52"/>
      <c r="T3" s="52"/>
      <c r="U3" s="52"/>
      <c r="V3" s="52"/>
      <c r="W3" s="52"/>
    </row>
    <row r="4" spans="1:24" ht="26.25" customHeight="1" thickBot="1">
      <c r="A4" s="50" t="s">
        <v>742</v>
      </c>
      <c r="B4" s="2488" t="s">
        <v>1706</v>
      </c>
      <c r="C4" s="2478"/>
      <c r="D4" s="2478"/>
      <c r="E4" s="2478"/>
      <c r="F4" s="2478"/>
      <c r="G4" s="2478"/>
      <c r="H4" s="2478"/>
      <c r="I4" s="2478"/>
      <c r="J4" s="2478"/>
      <c r="K4" s="2478"/>
      <c r="L4" s="2478"/>
      <c r="M4" s="2489"/>
      <c r="O4" s="2552" t="s">
        <v>1596</v>
      </c>
      <c r="P4" s="2481"/>
      <c r="Q4" s="2481"/>
      <c r="R4" s="2481"/>
      <c r="S4" s="2481"/>
      <c r="T4" s="729"/>
      <c r="U4" s="729"/>
      <c r="V4" s="729"/>
      <c r="W4" s="1314"/>
    </row>
    <row r="5" spans="1:24" ht="28.5" customHeight="1">
      <c r="A5" s="49" t="s">
        <v>819</v>
      </c>
      <c r="B5" s="2538" t="str">
        <f>P5</f>
        <v xml:space="preserve"> Boudin blanc au cognac "très bonne qualité "</v>
      </c>
      <c r="C5" s="2484"/>
      <c r="D5" s="2484"/>
      <c r="E5" s="2484"/>
      <c r="F5" s="654" t="str">
        <f>S5</f>
        <v>N°1</v>
      </c>
      <c r="G5" s="1467" t="s">
        <v>819</v>
      </c>
      <c r="H5" s="2539" t="str">
        <f>P5</f>
        <v xml:space="preserve"> Boudin blanc au cognac "très bonne qualité "</v>
      </c>
      <c r="I5" s="2486"/>
      <c r="J5" s="2486"/>
      <c r="K5" s="2486"/>
      <c r="L5" s="654" t="str">
        <f>S5</f>
        <v>N°1</v>
      </c>
      <c r="M5" s="1343" t="s">
        <v>818</v>
      </c>
      <c r="O5" s="339" t="s">
        <v>75</v>
      </c>
      <c r="P5" s="2487" t="s">
        <v>2206</v>
      </c>
      <c r="Q5" s="2487"/>
      <c r="R5" s="2487"/>
      <c r="S5" s="1104" t="s">
        <v>74</v>
      </c>
      <c r="T5" s="784"/>
      <c r="U5" s="784"/>
      <c r="V5" s="784"/>
      <c r="W5" s="1114"/>
    </row>
    <row r="6" spans="1:24" ht="18" customHeight="1">
      <c r="A6" s="2453"/>
      <c r="B6" s="45" t="s">
        <v>73</v>
      </c>
      <c r="C6" s="48" t="str">
        <f>P6</f>
        <v>adaptation du documents de Michel MARIETTE</v>
      </c>
      <c r="D6" s="47"/>
      <c r="E6" s="47"/>
      <c r="F6" s="47"/>
      <c r="G6" s="2454"/>
      <c r="H6" s="44" t="s">
        <v>73</v>
      </c>
      <c r="I6" s="48" t="str">
        <f>P6</f>
        <v>adaptation du documents de Michel MARIETTE</v>
      </c>
      <c r="J6" s="47"/>
      <c r="K6" s="47"/>
      <c r="L6" s="47"/>
      <c r="M6" s="2455"/>
      <c r="O6" s="340" t="s">
        <v>72</v>
      </c>
      <c r="P6" s="2456" t="s">
        <v>1699</v>
      </c>
      <c r="Q6" s="2456"/>
      <c r="R6" s="2456"/>
      <c r="S6" s="2457"/>
      <c r="T6" s="2458" t="s">
        <v>736</v>
      </c>
      <c r="U6" s="2459"/>
      <c r="V6" s="2459"/>
      <c r="W6" s="2460"/>
    </row>
    <row r="7" spans="1:24" ht="18" customHeight="1" thickBot="1">
      <c r="A7" s="2453"/>
      <c r="B7" s="45" t="str">
        <f>O7</f>
        <v>❸ Constituant de quelle recette ?</v>
      </c>
      <c r="C7" s="46"/>
      <c r="D7" s="46"/>
      <c r="E7" s="54"/>
      <c r="F7" s="54"/>
      <c r="G7" s="2454"/>
      <c r="H7" s="44" t="str">
        <f>O7</f>
        <v>❸ Constituant de quelle recette ?</v>
      </c>
      <c r="I7" s="44"/>
      <c r="J7" s="44"/>
      <c r="K7" s="2463" t="str">
        <f>R7</f>
        <v>Fiche de fabrication  :  OLIDA   recette  1936</v>
      </c>
      <c r="L7" s="2463"/>
      <c r="M7" s="2455"/>
      <c r="O7" s="341" t="s">
        <v>71</v>
      </c>
      <c r="P7" s="342"/>
      <c r="Q7" s="342"/>
      <c r="R7" s="2464" t="s">
        <v>1698</v>
      </c>
      <c r="S7" s="2465"/>
      <c r="T7" s="2458"/>
      <c r="U7" s="2459"/>
      <c r="V7" s="2459"/>
      <c r="W7" s="2460"/>
    </row>
    <row r="8" spans="1:24" ht="18" customHeight="1">
      <c r="A8" s="2453"/>
      <c r="B8" s="2546" t="s">
        <v>1566</v>
      </c>
      <c r="C8" s="2547"/>
      <c r="D8" s="2618">
        <v>5</v>
      </c>
      <c r="E8" s="1313"/>
      <c r="F8" s="1313"/>
      <c r="G8" s="2454"/>
      <c r="H8" s="2513">
        <v>0.13500000000000001</v>
      </c>
      <c r="I8" s="2627" t="s">
        <v>1703</v>
      </c>
      <c r="J8" s="2627"/>
      <c r="K8" s="2632" t="s">
        <v>1730</v>
      </c>
      <c r="L8" s="2631">
        <f>D8/H8</f>
        <v>37.037037037037038</v>
      </c>
      <c r="M8" s="2455"/>
      <c r="O8" s="43"/>
      <c r="P8" s="42"/>
      <c r="Q8" s="42"/>
      <c r="R8" s="1153"/>
      <c r="S8" s="1055"/>
      <c r="T8" s="2447" t="s">
        <v>574</v>
      </c>
      <c r="U8" s="2447"/>
      <c r="V8" s="2447"/>
      <c r="W8" s="2620" t="s">
        <v>817</v>
      </c>
    </row>
    <row r="9" spans="1:24" ht="18" customHeight="1" thickBot="1">
      <c r="A9" s="2453"/>
      <c r="B9" s="1448">
        <f>D8*1000</f>
        <v>5000</v>
      </c>
      <c r="C9" s="1449" t="s">
        <v>1600</v>
      </c>
      <c r="D9" s="2619"/>
      <c r="E9" s="1313"/>
      <c r="F9" s="1313"/>
      <c r="G9" s="2454"/>
      <c r="H9" s="2514"/>
      <c r="I9" s="2394"/>
      <c r="J9" s="2394"/>
      <c r="K9" s="2444"/>
      <c r="L9" s="2446"/>
      <c r="M9" s="2455"/>
      <c r="O9" s="609"/>
      <c r="P9" s="608"/>
      <c r="Q9" s="42"/>
      <c r="R9" s="1153"/>
      <c r="S9" s="1055"/>
      <c r="T9" s="2447"/>
      <c r="U9" s="2447"/>
      <c r="V9" s="2447"/>
      <c r="W9" s="2620"/>
    </row>
    <row r="10" spans="1:24" ht="18" customHeight="1">
      <c r="A10" s="2453"/>
      <c r="B10" s="1313"/>
      <c r="C10" s="1313"/>
      <c r="D10" s="1313"/>
      <c r="E10" s="1313"/>
      <c r="F10" s="1313"/>
      <c r="G10" s="2454"/>
      <c r="H10" s="1082">
        <v>250</v>
      </c>
      <c r="I10" s="1078" t="s">
        <v>1697</v>
      </c>
      <c r="J10" s="1079"/>
      <c r="K10" s="1077"/>
      <c r="L10" s="2626">
        <f>(H11*H10)</f>
        <v>31.25</v>
      </c>
      <c r="M10" s="2455"/>
      <c r="O10" s="38"/>
      <c r="P10" s="36" t="s">
        <v>1</v>
      </c>
      <c r="Q10" s="37" t="s">
        <v>70</v>
      </c>
      <c r="R10" s="36" t="s">
        <v>0</v>
      </c>
      <c r="S10" s="1106">
        <v>20</v>
      </c>
      <c r="T10" s="2447"/>
      <c r="U10" s="2447"/>
      <c r="V10" s="2447"/>
      <c r="W10" s="2620"/>
    </row>
    <row r="11" spans="1:24" ht="30" customHeight="1">
      <c r="A11" s="2453"/>
      <c r="B11" s="1313"/>
      <c r="C11" s="1313"/>
      <c r="D11" s="1313"/>
      <c r="E11" s="1313"/>
      <c r="F11" s="1313"/>
      <c r="G11" s="2454"/>
      <c r="H11" s="1304">
        <v>0.125</v>
      </c>
      <c r="I11" s="1080" t="s">
        <v>1695</v>
      </c>
      <c r="J11" s="1081"/>
      <c r="K11" s="1121" t="s">
        <v>1599</v>
      </c>
      <c r="L11" s="2518"/>
      <c r="M11" s="2455"/>
      <c r="O11" s="1308" t="s">
        <v>1696</v>
      </c>
      <c r="P11" s="1309"/>
      <c r="Q11" s="1309"/>
      <c r="R11" s="1075" t="s">
        <v>67</v>
      </c>
      <c r="S11" s="1288">
        <f>S43</f>
        <v>104.875</v>
      </c>
      <c r="T11" s="2519">
        <v>1</v>
      </c>
      <c r="U11" s="2519"/>
      <c r="V11" s="2519"/>
      <c r="W11" s="2620"/>
    </row>
    <row r="12" spans="1:24" ht="36.75" customHeight="1">
      <c r="A12" s="2453"/>
      <c r="B12" s="1442" t="s">
        <v>61</v>
      </c>
      <c r="C12" s="1443" t="s">
        <v>60</v>
      </c>
      <c r="D12" s="1443" t="s">
        <v>577</v>
      </c>
      <c r="E12" s="1286" t="s">
        <v>65</v>
      </c>
      <c r="F12" s="1073" t="s">
        <v>64</v>
      </c>
      <c r="G12" s="2454"/>
      <c r="H12" s="657"/>
      <c r="I12" s="41" t="s">
        <v>1</v>
      </c>
      <c r="J12" s="40" t="str">
        <f>Q10</f>
        <v>?</v>
      </c>
      <c r="K12" s="39" t="s">
        <v>0</v>
      </c>
      <c r="L12" s="40">
        <f>S10</f>
        <v>20</v>
      </c>
      <c r="M12" s="2455"/>
      <c r="O12" s="29" t="s">
        <v>61</v>
      </c>
      <c r="P12" s="28" t="s">
        <v>60</v>
      </c>
      <c r="Q12" s="27" t="s">
        <v>63</v>
      </c>
      <c r="R12" s="1059" t="s">
        <v>62</v>
      </c>
      <c r="S12" s="625"/>
      <c r="T12" s="622" t="s">
        <v>490</v>
      </c>
      <c r="U12" s="622" t="s">
        <v>61</v>
      </c>
      <c r="V12" s="622" t="s">
        <v>60</v>
      </c>
      <c r="W12" s="1318"/>
    </row>
    <row r="13" spans="1:24" ht="18.95" customHeight="1">
      <c r="A13" s="2453"/>
      <c r="B13" s="1437" t="str">
        <f t="shared" ref="B13:B42" si="0">IF(ISBLANK(O13),"",(U13/T$11)*D$8)</f>
        <v/>
      </c>
      <c r="C13" s="1438">
        <f t="shared" ref="C13:C22" si="1">P13</f>
        <v>0</v>
      </c>
      <c r="D13" s="1451">
        <f t="shared" ref="D13:D42" si="2">D$8*W13</f>
        <v>1.6209773539928487</v>
      </c>
      <c r="E13" s="22" t="str">
        <f t="shared" ref="E13:E42" si="3">R13</f>
        <v>Maigre de volaille</v>
      </c>
      <c r="F13" s="1312">
        <f>S11</f>
        <v>104.875</v>
      </c>
      <c r="G13" s="2454"/>
      <c r="H13" s="34" t="s">
        <v>68</v>
      </c>
      <c r="I13" s="33"/>
      <c r="J13" s="32"/>
      <c r="K13" s="15"/>
      <c r="L13" s="15"/>
      <c r="M13" s="2455"/>
      <c r="O13" s="1305"/>
      <c r="P13" s="1306"/>
      <c r="Q13" s="1307">
        <v>34</v>
      </c>
      <c r="R13" s="19" t="s">
        <v>1620</v>
      </c>
      <c r="S13" s="1279">
        <f t="shared" ref="S13:S42" si="4">IF(ISBLANK(O13),Q13,(Q13*O13))</f>
        <v>34</v>
      </c>
      <c r="T13" s="332">
        <f>((S13/(S$11/1000)*T$11))</f>
        <v>324.19547079856972</v>
      </c>
      <c r="U13" s="18" t="str">
        <f>IF(ISBLANK(O13),"",(O13/S11)*T11)</f>
        <v/>
      </c>
      <c r="V13" s="17">
        <f>P13</f>
        <v>0</v>
      </c>
      <c r="W13" s="1319">
        <f>S13/S11</f>
        <v>0.32419547079856975</v>
      </c>
    </row>
    <row r="14" spans="1:24" ht="18.95" customHeight="1">
      <c r="A14" s="2453"/>
      <c r="B14" s="1437" t="str">
        <f t="shared" si="0"/>
        <v/>
      </c>
      <c r="C14" s="1438">
        <f t="shared" si="1"/>
        <v>0</v>
      </c>
      <c r="D14" s="1451">
        <f t="shared" si="2"/>
        <v>0.76281287246722285</v>
      </c>
      <c r="E14" s="22" t="str">
        <f t="shared" si="3"/>
        <v>Poitrine de porc extra</v>
      </c>
      <c r="F14" s="22"/>
      <c r="G14" s="2454"/>
      <c r="H14" s="9">
        <v>1</v>
      </c>
      <c r="I14" s="2621" t="s">
        <v>1630</v>
      </c>
      <c r="J14" s="2621"/>
      <c r="K14" s="2621"/>
      <c r="L14" s="2622"/>
      <c r="M14" s="2455"/>
      <c r="O14" s="1305"/>
      <c r="P14" s="1306"/>
      <c r="Q14" s="1307">
        <v>16</v>
      </c>
      <c r="R14" s="19" t="s">
        <v>1621</v>
      </c>
      <c r="S14" s="1279">
        <f t="shared" si="4"/>
        <v>16</v>
      </c>
      <c r="T14" s="332">
        <f t="shared" ref="T14:T42" si="5">((S14/(S$11/1000)*T$11))</f>
        <v>152.56257449344457</v>
      </c>
      <c r="U14" s="18" t="str">
        <f>IF(ISBLANK(O14),"",(O14/S11)*T11)</f>
        <v/>
      </c>
      <c r="V14" s="17">
        <f>P14</f>
        <v>0</v>
      </c>
      <c r="W14" s="1319">
        <f>S14/S11</f>
        <v>0.15256257449344457</v>
      </c>
    </row>
    <row r="15" spans="1:24" ht="18.95" customHeight="1">
      <c r="A15" s="2453"/>
      <c r="B15" s="1437" t="str">
        <f t="shared" si="0"/>
        <v/>
      </c>
      <c r="C15" s="1438">
        <f t="shared" si="1"/>
        <v>0</v>
      </c>
      <c r="D15" s="1451">
        <f t="shared" si="2"/>
        <v>0.76281287246722285</v>
      </c>
      <c r="E15" s="22" t="str">
        <f t="shared" si="3"/>
        <v>Gorge parée</v>
      </c>
      <c r="F15" s="22"/>
      <c r="G15" s="2454"/>
      <c r="H15" s="9"/>
      <c r="I15" s="2621"/>
      <c r="J15" s="2621"/>
      <c r="K15" s="2621"/>
      <c r="L15" s="2622"/>
      <c r="M15" s="2455"/>
      <c r="O15" s="1305"/>
      <c r="P15" s="1306"/>
      <c r="Q15" s="1307">
        <v>16</v>
      </c>
      <c r="R15" s="19" t="s">
        <v>1622</v>
      </c>
      <c r="S15" s="1279">
        <f t="shared" si="4"/>
        <v>16</v>
      </c>
      <c r="T15" s="332">
        <f t="shared" si="5"/>
        <v>152.56257449344457</v>
      </c>
      <c r="U15" s="18" t="str">
        <f>IF(ISBLANK(O15),"",(O15/S11)*T11)</f>
        <v/>
      </c>
      <c r="V15" s="17">
        <f>P15</f>
        <v>0</v>
      </c>
      <c r="W15" s="1319">
        <f>S15/S11</f>
        <v>0.15256257449344457</v>
      </c>
    </row>
    <row r="16" spans="1:24" ht="18.95" customHeight="1">
      <c r="A16" s="2453"/>
      <c r="B16" s="1437" t="str">
        <f t="shared" si="0"/>
        <v/>
      </c>
      <c r="C16" s="1438">
        <f t="shared" si="1"/>
        <v>0</v>
      </c>
      <c r="D16" s="1451">
        <f t="shared" si="2"/>
        <v>1.4302741358760429</v>
      </c>
      <c r="E16" s="22" t="str">
        <f t="shared" si="3"/>
        <v>Lait entier 60°C ( aromatisé)</v>
      </c>
      <c r="F16" s="22"/>
      <c r="G16" s="2454"/>
      <c r="H16" s="9">
        <v>2</v>
      </c>
      <c r="I16" s="2621" t="s">
        <v>1631</v>
      </c>
      <c r="J16" s="2621"/>
      <c r="K16" s="2621"/>
      <c r="L16" s="2622"/>
      <c r="M16" s="2455"/>
      <c r="O16" s="1305"/>
      <c r="P16" s="1306"/>
      <c r="Q16" s="1307">
        <v>30</v>
      </c>
      <c r="R16" s="19" t="s">
        <v>1623</v>
      </c>
      <c r="S16" s="1279">
        <f t="shared" si="4"/>
        <v>30</v>
      </c>
      <c r="T16" s="332">
        <f t="shared" si="5"/>
        <v>286.05482717520857</v>
      </c>
      <c r="U16" s="18" t="str">
        <f>IF(ISBLANK(O16),"",(O16/S11)*T11)</f>
        <v/>
      </c>
      <c r="V16" s="17">
        <f t="shared" ref="V16:V42" si="6">P16</f>
        <v>0</v>
      </c>
      <c r="W16" s="1319">
        <f>S16/S11</f>
        <v>0.28605482717520858</v>
      </c>
    </row>
    <row r="17" spans="1:23" ht="18.95" customHeight="1">
      <c r="A17" s="2453"/>
      <c r="B17" s="1437" t="str">
        <f t="shared" si="0"/>
        <v/>
      </c>
      <c r="C17" s="1438">
        <f t="shared" si="1"/>
        <v>0</v>
      </c>
      <c r="D17" s="1451">
        <f t="shared" si="2"/>
        <v>0.28605482717520858</v>
      </c>
      <c r="E17" s="22" t="str">
        <f t="shared" si="3"/>
        <v>Œufs entiers</v>
      </c>
      <c r="F17" s="22"/>
      <c r="G17" s="2454"/>
      <c r="H17" s="9"/>
      <c r="I17" s="2621"/>
      <c r="J17" s="2621"/>
      <c r="K17" s="2621"/>
      <c r="L17" s="2622"/>
      <c r="M17" s="2455"/>
      <c r="O17" s="1305"/>
      <c r="P17" s="1306"/>
      <c r="Q17" s="1307">
        <v>6</v>
      </c>
      <c r="R17" s="19" t="s">
        <v>579</v>
      </c>
      <c r="S17" s="1279">
        <f t="shared" si="4"/>
        <v>6</v>
      </c>
      <c r="T17" s="332">
        <f t="shared" si="5"/>
        <v>57.210965435041722</v>
      </c>
      <c r="U17" s="18" t="str">
        <f>IF(ISBLANK(O17),"",(O17/S11)*T11)</f>
        <v/>
      </c>
      <c r="V17" s="17">
        <f t="shared" si="6"/>
        <v>0</v>
      </c>
      <c r="W17" s="1319">
        <f>S17/S11</f>
        <v>5.7210965435041714E-2</v>
      </c>
    </row>
    <row r="18" spans="1:23" ht="18.95" customHeight="1">
      <c r="A18" s="2453"/>
      <c r="B18" s="1437" t="str">
        <f t="shared" si="0"/>
        <v/>
      </c>
      <c r="C18" s="1438">
        <f t="shared" si="1"/>
        <v>0</v>
      </c>
      <c r="D18" s="1451">
        <f t="shared" si="2"/>
        <v>7.8665077473182354E-2</v>
      </c>
      <c r="E18" s="22" t="str">
        <f t="shared" si="3"/>
        <v>Sel fin</v>
      </c>
      <c r="F18" s="22"/>
      <c r="G18" s="2454"/>
      <c r="H18" s="9">
        <v>3</v>
      </c>
      <c r="I18" s="2621" t="s">
        <v>1632</v>
      </c>
      <c r="J18" s="2621"/>
      <c r="K18" s="2621"/>
      <c r="L18" s="2622"/>
      <c r="M18" s="2455"/>
      <c r="O18" s="1305"/>
      <c r="P18" s="1306"/>
      <c r="Q18" s="1307">
        <v>1.65</v>
      </c>
      <c r="R18" s="19" t="s">
        <v>1624</v>
      </c>
      <c r="S18" s="1279">
        <f t="shared" si="4"/>
        <v>1.65</v>
      </c>
      <c r="T18" s="332">
        <f t="shared" si="5"/>
        <v>15.733015494636472</v>
      </c>
      <c r="U18" s="18" t="str">
        <f>IF(ISBLANK(O18),"",(O18/S11)*T11)</f>
        <v/>
      </c>
      <c r="V18" s="17">
        <f t="shared" si="6"/>
        <v>0</v>
      </c>
      <c r="W18" s="1319">
        <f>S18/S11</f>
        <v>1.573301549463647E-2</v>
      </c>
    </row>
    <row r="19" spans="1:23" ht="18.95" customHeight="1">
      <c r="A19" s="2453"/>
      <c r="B19" s="1437" t="str">
        <f t="shared" si="0"/>
        <v/>
      </c>
      <c r="C19" s="1438">
        <f t="shared" si="1"/>
        <v>0</v>
      </c>
      <c r="D19" s="1451">
        <f t="shared" si="2"/>
        <v>4.7675804529201428E-3</v>
      </c>
      <c r="E19" s="22" t="str">
        <f t="shared" si="3"/>
        <v>Poivre blanc</v>
      </c>
      <c r="F19" s="22"/>
      <c r="G19" s="2454"/>
      <c r="H19" s="9"/>
      <c r="I19" s="2621"/>
      <c r="J19" s="2621"/>
      <c r="K19" s="2621"/>
      <c r="L19" s="2622"/>
      <c r="M19" s="2455"/>
      <c r="O19" s="1305"/>
      <c r="P19" s="1306"/>
      <c r="Q19" s="1307">
        <v>0.1</v>
      </c>
      <c r="R19" s="19" t="s">
        <v>1625</v>
      </c>
      <c r="S19" s="1279">
        <f t="shared" si="4"/>
        <v>0.1</v>
      </c>
      <c r="T19" s="332">
        <f t="shared" si="5"/>
        <v>0.95351609058402864</v>
      </c>
      <c r="U19" s="18" t="str">
        <f>IF(ISBLANK(O19),"",(O19/S11)*T11)</f>
        <v/>
      </c>
      <c r="V19" s="17">
        <f t="shared" si="6"/>
        <v>0</v>
      </c>
      <c r="W19" s="1319">
        <f>S19/S11</f>
        <v>9.5351609058402862E-4</v>
      </c>
    </row>
    <row r="20" spans="1:23" ht="18.95" customHeight="1">
      <c r="A20" s="2453"/>
      <c r="B20" s="1437" t="str">
        <f t="shared" si="0"/>
        <v/>
      </c>
      <c r="C20" s="1438">
        <f t="shared" si="1"/>
        <v>0</v>
      </c>
      <c r="D20" s="1451">
        <f t="shared" si="2"/>
        <v>4.7675804529201428E-3</v>
      </c>
      <c r="E20" s="22" t="str">
        <f t="shared" si="3"/>
        <v>4 épices</v>
      </c>
      <c r="F20" s="22"/>
      <c r="G20" s="2454"/>
      <c r="H20" s="9"/>
      <c r="I20" s="2621" t="s">
        <v>1675</v>
      </c>
      <c r="J20" s="2621"/>
      <c r="K20" s="2621"/>
      <c r="L20" s="2622"/>
      <c r="M20" s="2455"/>
      <c r="O20" s="1305"/>
      <c r="P20" s="1306"/>
      <c r="Q20" s="1307">
        <v>0.1</v>
      </c>
      <c r="R20" s="19" t="s">
        <v>1626</v>
      </c>
      <c r="S20" s="1279">
        <f t="shared" si="4"/>
        <v>0.1</v>
      </c>
      <c r="T20" s="332">
        <f t="shared" si="5"/>
        <v>0.95351609058402864</v>
      </c>
      <c r="U20" s="18" t="str">
        <f>IF(ISBLANK(O20),"",(O20/S11)*T11)</f>
        <v/>
      </c>
      <c r="V20" s="17">
        <f t="shared" si="6"/>
        <v>0</v>
      </c>
      <c r="W20" s="1319">
        <f>S20/S11</f>
        <v>9.5351609058402862E-4</v>
      </c>
    </row>
    <row r="21" spans="1:23" ht="18.95" customHeight="1">
      <c r="A21" s="2453"/>
      <c r="B21" s="1437" t="str">
        <f t="shared" si="0"/>
        <v/>
      </c>
      <c r="C21" s="1438">
        <f t="shared" si="1"/>
        <v>0</v>
      </c>
      <c r="D21" s="1451">
        <f t="shared" si="2"/>
        <v>4.7675804529201428E-2</v>
      </c>
      <c r="E21" s="22" t="str">
        <f t="shared" si="3"/>
        <v>Cognac</v>
      </c>
      <c r="F21" s="22"/>
      <c r="G21" s="2454"/>
      <c r="H21" s="9"/>
      <c r="I21" s="2621"/>
      <c r="J21" s="2621"/>
      <c r="K21" s="2621"/>
      <c r="L21" s="2622"/>
      <c r="M21" s="2455"/>
      <c r="O21" s="1305"/>
      <c r="P21" s="1306"/>
      <c r="Q21" s="1307">
        <v>1</v>
      </c>
      <c r="R21" s="19" t="s">
        <v>1674</v>
      </c>
      <c r="S21" s="1279">
        <f t="shared" si="4"/>
        <v>1</v>
      </c>
      <c r="T21" s="332">
        <f t="shared" si="5"/>
        <v>9.5351609058402857</v>
      </c>
      <c r="U21" s="18" t="str">
        <f>IF(ISBLANK(O21),"",(O21/S$11)*T$11)</f>
        <v/>
      </c>
      <c r="V21" s="17">
        <f t="shared" si="6"/>
        <v>0</v>
      </c>
      <c r="W21" s="1319">
        <f>S21/S11</f>
        <v>9.5351609058402856E-3</v>
      </c>
    </row>
    <row r="22" spans="1:23" ht="18.95" customHeight="1">
      <c r="A22" s="2453"/>
      <c r="B22" s="1437" t="str">
        <f t="shared" si="0"/>
        <v/>
      </c>
      <c r="C22" s="1438">
        <f t="shared" si="1"/>
        <v>0</v>
      </c>
      <c r="D22" s="1453">
        <f t="shared" si="2"/>
        <v>1.1918951132300357E-3</v>
      </c>
      <c r="E22" s="22" t="str">
        <f t="shared" si="3"/>
        <v xml:space="preserve">Eau de fleurs d' oranger </v>
      </c>
      <c r="F22" s="22"/>
      <c r="G22" s="2454"/>
      <c r="H22" s="9"/>
      <c r="I22" s="1320" t="s">
        <v>1661</v>
      </c>
      <c r="J22" s="1320"/>
      <c r="K22" s="1320"/>
      <c r="L22" s="1320"/>
      <c r="M22" s="2455"/>
      <c r="O22" s="1305"/>
      <c r="P22" s="1306"/>
      <c r="Q22" s="1307">
        <v>2.5000000000000001E-2</v>
      </c>
      <c r="R22" s="19" t="s">
        <v>1628</v>
      </c>
      <c r="S22" s="1279">
        <f t="shared" si="4"/>
        <v>2.5000000000000001E-2</v>
      </c>
      <c r="T22" s="332">
        <f t="shared" si="5"/>
        <v>0.23837902264600716</v>
      </c>
      <c r="U22" s="18" t="str">
        <f>IF(ISBLANK(O22),"",(O22/S$11)*T$11)</f>
        <v/>
      </c>
      <c r="V22" s="17">
        <f t="shared" si="6"/>
        <v>0</v>
      </c>
      <c r="W22" s="1452">
        <f>S22/S11</f>
        <v>2.3837902264600716E-4</v>
      </c>
    </row>
    <row r="23" spans="1:23" ht="18.95" customHeight="1">
      <c r="A23" s="2453"/>
      <c r="B23" s="1437" t="str">
        <f t="shared" si="0"/>
        <v/>
      </c>
      <c r="C23" s="1438">
        <f>P23</f>
        <v>0</v>
      </c>
      <c r="D23" s="1451">
        <f t="shared" si="2"/>
        <v>0</v>
      </c>
      <c r="E23" s="1450">
        <f t="shared" si="3"/>
        <v>0</v>
      </c>
      <c r="F23" s="22"/>
      <c r="G23" s="2454"/>
      <c r="H23" s="9">
        <v>4</v>
      </c>
      <c r="I23" s="1320" t="s">
        <v>1701</v>
      </c>
      <c r="J23" s="1320"/>
      <c r="K23" s="1320"/>
      <c r="L23" s="1320"/>
      <c r="M23" s="2455"/>
      <c r="O23" s="1305"/>
      <c r="P23" s="1306"/>
      <c r="Q23" s="1307"/>
      <c r="R23" s="19"/>
      <c r="S23" s="1279">
        <f t="shared" si="4"/>
        <v>0</v>
      </c>
      <c r="T23" s="332">
        <f t="shared" si="5"/>
        <v>0</v>
      </c>
      <c r="U23" s="18" t="str">
        <f>IF(ISBLANK(O23),"",(O23/S11)*T11)</f>
        <v/>
      </c>
      <c r="V23" s="17">
        <f t="shared" si="6"/>
        <v>0</v>
      </c>
      <c r="W23" s="1319">
        <f>S23/S11</f>
        <v>0</v>
      </c>
    </row>
    <row r="24" spans="1:23" ht="18.95" customHeight="1">
      <c r="A24" s="2453"/>
      <c r="B24" s="1437" t="str">
        <f t="shared" si="0"/>
        <v/>
      </c>
      <c r="C24" s="1438">
        <f t="shared" ref="C24:C42" si="7">P24</f>
        <v>0</v>
      </c>
      <c r="D24" s="1451">
        <f t="shared" si="2"/>
        <v>0</v>
      </c>
      <c r="E24" s="22">
        <f t="shared" si="3"/>
        <v>0</v>
      </c>
      <c r="F24" s="22"/>
      <c r="G24" s="2454"/>
      <c r="H24" s="9">
        <v>5</v>
      </c>
      <c r="I24" s="1320" t="s">
        <v>1637</v>
      </c>
      <c r="J24" s="1320"/>
      <c r="K24" s="1320"/>
      <c r="L24" s="1320"/>
      <c r="M24" s="2455"/>
      <c r="O24" s="1305"/>
      <c r="P24" s="1306"/>
      <c r="Q24" s="1307"/>
      <c r="R24" s="19"/>
      <c r="S24" s="1279">
        <f t="shared" si="4"/>
        <v>0</v>
      </c>
      <c r="T24" s="332">
        <f t="shared" si="5"/>
        <v>0</v>
      </c>
      <c r="U24" s="18" t="str">
        <f>IF(ISBLANK(O24),"",(O24/S11)*T11)</f>
        <v/>
      </c>
      <c r="V24" s="17">
        <f t="shared" si="6"/>
        <v>0</v>
      </c>
      <c r="W24" s="1319">
        <f>S24/S11</f>
        <v>0</v>
      </c>
    </row>
    <row r="25" spans="1:23" ht="18.95" customHeight="1">
      <c r="A25" s="2453"/>
      <c r="B25" s="1437" t="str">
        <f t="shared" si="0"/>
        <v/>
      </c>
      <c r="C25" s="1438">
        <f t="shared" si="7"/>
        <v>0</v>
      </c>
      <c r="D25" s="1451">
        <f t="shared" si="2"/>
        <v>0</v>
      </c>
      <c r="E25" s="22">
        <f t="shared" si="3"/>
        <v>0</v>
      </c>
      <c r="F25" s="22"/>
      <c r="G25" s="2454"/>
      <c r="H25" s="9"/>
      <c r="I25" s="1320"/>
      <c r="J25" s="1320" t="s">
        <v>1638</v>
      </c>
      <c r="K25" s="1320" t="s">
        <v>1639</v>
      </c>
      <c r="L25" s="1320"/>
      <c r="M25" s="2455"/>
      <c r="O25" s="1305"/>
      <c r="P25" s="1306"/>
      <c r="Q25" s="1307"/>
      <c r="R25" s="19"/>
      <c r="S25" s="1279">
        <f t="shared" si="4"/>
        <v>0</v>
      </c>
      <c r="T25" s="332">
        <f t="shared" si="5"/>
        <v>0</v>
      </c>
      <c r="U25" s="18" t="str">
        <f>IF(ISBLANK(O25),"",(O25/S11)*T11)</f>
        <v/>
      </c>
      <c r="V25" s="17">
        <f t="shared" si="6"/>
        <v>0</v>
      </c>
      <c r="W25" s="1319">
        <f>S25/S11</f>
        <v>0</v>
      </c>
    </row>
    <row r="26" spans="1:23" ht="18.95" customHeight="1">
      <c r="A26" s="2453"/>
      <c r="B26" s="1437" t="str">
        <f t="shared" si="0"/>
        <v/>
      </c>
      <c r="C26" s="1438">
        <f t="shared" si="7"/>
        <v>0</v>
      </c>
      <c r="D26" s="1451">
        <f t="shared" si="2"/>
        <v>0</v>
      </c>
      <c r="E26" s="22">
        <f t="shared" si="3"/>
        <v>0</v>
      </c>
      <c r="F26" s="22"/>
      <c r="G26" s="2454"/>
      <c r="H26" s="9"/>
      <c r="I26" s="1320"/>
      <c r="J26" s="1320" t="s">
        <v>522</v>
      </c>
      <c r="K26" s="1320" t="s">
        <v>1640</v>
      </c>
      <c r="L26" s="1320"/>
      <c r="M26" s="2455"/>
      <c r="O26" s="1305"/>
      <c r="P26" s="1306"/>
      <c r="Q26" s="1307"/>
      <c r="R26" s="19"/>
      <c r="S26" s="1279">
        <f t="shared" si="4"/>
        <v>0</v>
      </c>
      <c r="T26" s="332">
        <f t="shared" si="5"/>
        <v>0</v>
      </c>
      <c r="U26" s="18" t="str">
        <f>IF(ISBLANK(O26),"",(O26/S11)*T11)</f>
        <v/>
      </c>
      <c r="V26" s="17">
        <f t="shared" si="6"/>
        <v>0</v>
      </c>
      <c r="W26" s="1319">
        <f>S26/S11</f>
        <v>0</v>
      </c>
    </row>
    <row r="27" spans="1:23" ht="18.95" customHeight="1">
      <c r="A27" s="2453"/>
      <c r="B27" s="1437" t="str">
        <f t="shared" si="0"/>
        <v/>
      </c>
      <c r="C27" s="1438">
        <f t="shared" si="7"/>
        <v>0</v>
      </c>
      <c r="D27" s="1451">
        <f t="shared" si="2"/>
        <v>0</v>
      </c>
      <c r="E27" s="22">
        <f t="shared" si="3"/>
        <v>0</v>
      </c>
      <c r="F27" s="22"/>
      <c r="G27" s="2454"/>
      <c r="H27" s="9"/>
      <c r="I27" s="1320"/>
      <c r="J27" s="1320"/>
      <c r="K27" s="1320"/>
      <c r="L27" s="1320"/>
      <c r="M27" s="2455"/>
      <c r="O27" s="1305"/>
      <c r="P27" s="1306"/>
      <c r="Q27" s="1307"/>
      <c r="R27" s="19"/>
      <c r="S27" s="1279">
        <f t="shared" si="4"/>
        <v>0</v>
      </c>
      <c r="T27" s="332">
        <f t="shared" si="5"/>
        <v>0</v>
      </c>
      <c r="U27" s="18" t="str">
        <f>IF(ISBLANK(O27),"",(O27/S11)*T11)</f>
        <v/>
      </c>
      <c r="V27" s="17">
        <f t="shared" si="6"/>
        <v>0</v>
      </c>
      <c r="W27" s="1319">
        <f>S27/S11</f>
        <v>0</v>
      </c>
    </row>
    <row r="28" spans="1:23" ht="18.95" customHeight="1">
      <c r="A28" s="2453"/>
      <c r="B28" s="1437" t="str">
        <f t="shared" si="0"/>
        <v/>
      </c>
      <c r="C28" s="1438">
        <f t="shared" si="7"/>
        <v>0</v>
      </c>
      <c r="D28" s="1451">
        <f t="shared" si="2"/>
        <v>0</v>
      </c>
      <c r="E28" s="22">
        <f t="shared" si="3"/>
        <v>0</v>
      </c>
      <c r="F28" s="22"/>
      <c r="G28" s="2454"/>
      <c r="H28" s="9">
        <v>6</v>
      </c>
      <c r="I28" s="1320" t="s">
        <v>1702</v>
      </c>
      <c r="J28" s="1320"/>
      <c r="K28" s="1320"/>
      <c r="L28" s="1320"/>
      <c r="M28" s="2455"/>
      <c r="O28" s="1305"/>
      <c r="P28" s="1306"/>
      <c r="Q28" s="1307"/>
      <c r="R28" s="19"/>
      <c r="S28" s="1279">
        <f t="shared" si="4"/>
        <v>0</v>
      </c>
      <c r="T28" s="332">
        <f t="shared" si="5"/>
        <v>0</v>
      </c>
      <c r="U28" s="18" t="str">
        <f>IF(ISBLANK(O28),"",(O28/S11)*T11)</f>
        <v/>
      </c>
      <c r="V28" s="17">
        <f t="shared" si="6"/>
        <v>0</v>
      </c>
      <c r="W28" s="1319">
        <f>S28/S11</f>
        <v>0</v>
      </c>
    </row>
    <row r="29" spans="1:23" ht="18.95" customHeight="1">
      <c r="A29" s="2453"/>
      <c r="B29" s="1437" t="str">
        <f t="shared" si="0"/>
        <v/>
      </c>
      <c r="C29" s="1438">
        <f t="shared" si="7"/>
        <v>0</v>
      </c>
      <c r="D29" s="1451">
        <f t="shared" si="2"/>
        <v>0</v>
      </c>
      <c r="E29" s="22">
        <f t="shared" si="3"/>
        <v>0</v>
      </c>
      <c r="F29" s="22"/>
      <c r="G29" s="2454"/>
      <c r="H29" s="9"/>
      <c r="I29" s="15"/>
      <c r="J29" s="15"/>
      <c r="K29" s="15"/>
      <c r="L29" s="15"/>
      <c r="M29" s="2455"/>
      <c r="O29" s="1305"/>
      <c r="P29" s="1306"/>
      <c r="Q29" s="1307"/>
      <c r="R29" s="19"/>
      <c r="S29" s="1279">
        <f t="shared" si="4"/>
        <v>0</v>
      </c>
      <c r="T29" s="332">
        <f t="shared" si="5"/>
        <v>0</v>
      </c>
      <c r="U29" s="18" t="str">
        <f>IF(ISBLANK(O29),"",(O29/S11)*T11)</f>
        <v/>
      </c>
      <c r="V29" s="17">
        <f t="shared" si="6"/>
        <v>0</v>
      </c>
      <c r="W29" s="1319">
        <f>S29/S11</f>
        <v>0</v>
      </c>
    </row>
    <row r="30" spans="1:23" ht="18.95" customHeight="1">
      <c r="A30" s="2453"/>
      <c r="B30" s="1437" t="str">
        <f t="shared" si="0"/>
        <v/>
      </c>
      <c r="C30" s="1438">
        <f t="shared" si="7"/>
        <v>0</v>
      </c>
      <c r="D30" s="1451">
        <f t="shared" si="2"/>
        <v>0</v>
      </c>
      <c r="E30" s="22">
        <f t="shared" si="3"/>
        <v>0</v>
      </c>
      <c r="F30" s="22"/>
      <c r="G30" s="2454"/>
      <c r="H30" s="9"/>
      <c r="I30" s="1281" t="s">
        <v>1642</v>
      </c>
      <c r="J30" s="15"/>
      <c r="K30" s="15"/>
      <c r="L30" s="15"/>
      <c r="M30" s="2455"/>
      <c r="O30" s="1305"/>
      <c r="P30" s="1306"/>
      <c r="Q30" s="1307"/>
      <c r="R30" s="19"/>
      <c r="S30" s="1279">
        <f t="shared" si="4"/>
        <v>0</v>
      </c>
      <c r="T30" s="332">
        <f t="shared" si="5"/>
        <v>0</v>
      </c>
      <c r="U30" s="18" t="str">
        <f>IF(ISBLANK(O30),"",(O30/S11)*T11)</f>
        <v/>
      </c>
      <c r="V30" s="17">
        <f t="shared" si="6"/>
        <v>0</v>
      </c>
      <c r="W30" s="1319">
        <f>S30/S11</f>
        <v>0</v>
      </c>
    </row>
    <row r="31" spans="1:23" ht="18.95" customHeight="1">
      <c r="A31" s="2453"/>
      <c r="B31" s="1437" t="str">
        <f t="shared" si="0"/>
        <v/>
      </c>
      <c r="C31" s="1438">
        <f t="shared" si="7"/>
        <v>0</v>
      </c>
      <c r="D31" s="1451">
        <f t="shared" si="2"/>
        <v>0</v>
      </c>
      <c r="E31" s="22">
        <f t="shared" si="3"/>
        <v>0</v>
      </c>
      <c r="F31" s="22"/>
      <c r="G31" s="2454"/>
      <c r="H31" s="9"/>
      <c r="I31" s="1281" t="s">
        <v>1643</v>
      </c>
      <c r="J31" s="15"/>
      <c r="K31" s="15"/>
      <c r="L31" s="15"/>
      <c r="M31" s="2455"/>
      <c r="O31" s="1305"/>
      <c r="P31" s="1306"/>
      <c r="Q31" s="1307"/>
      <c r="R31" s="19"/>
      <c r="S31" s="1279">
        <f t="shared" si="4"/>
        <v>0</v>
      </c>
      <c r="T31" s="332">
        <f t="shared" si="5"/>
        <v>0</v>
      </c>
      <c r="U31" s="18" t="str">
        <f>IF(ISBLANK(O31),"",(O31/S11)*T11)</f>
        <v/>
      </c>
      <c r="V31" s="17">
        <f t="shared" si="6"/>
        <v>0</v>
      </c>
      <c r="W31" s="1319">
        <f>S31/S11</f>
        <v>0</v>
      </c>
    </row>
    <row r="32" spans="1:23" ht="18.95" customHeight="1">
      <c r="A32" s="2453"/>
      <c r="B32" s="1437" t="str">
        <f t="shared" si="0"/>
        <v/>
      </c>
      <c r="C32" s="1438">
        <f t="shared" si="7"/>
        <v>0</v>
      </c>
      <c r="D32" s="1451">
        <f t="shared" si="2"/>
        <v>0</v>
      </c>
      <c r="E32" s="22">
        <f t="shared" si="3"/>
        <v>0</v>
      </c>
      <c r="F32" s="22"/>
      <c r="G32" s="2454"/>
      <c r="H32" s="9"/>
      <c r="I32" s="1281" t="s">
        <v>1645</v>
      </c>
      <c r="J32" s="15"/>
      <c r="K32" s="15"/>
      <c r="L32" s="15"/>
      <c r="M32" s="2455"/>
      <c r="O32" s="1305"/>
      <c r="P32" s="1306"/>
      <c r="Q32" s="1307"/>
      <c r="R32" s="19"/>
      <c r="S32" s="1279">
        <f t="shared" si="4"/>
        <v>0</v>
      </c>
      <c r="T32" s="332">
        <f t="shared" si="5"/>
        <v>0</v>
      </c>
      <c r="U32" s="18" t="str">
        <f>IF(ISBLANK(O32),"",(O32/S11)*T11)</f>
        <v/>
      </c>
      <c r="V32" s="17">
        <f t="shared" si="6"/>
        <v>0</v>
      </c>
      <c r="W32" s="1319">
        <f>S32/S11</f>
        <v>0</v>
      </c>
    </row>
    <row r="33" spans="1:23" ht="18.95" customHeight="1">
      <c r="A33" s="2453"/>
      <c r="B33" s="1437" t="str">
        <f t="shared" si="0"/>
        <v/>
      </c>
      <c r="C33" s="1438">
        <f t="shared" si="7"/>
        <v>0</v>
      </c>
      <c r="D33" s="1451">
        <f t="shared" si="2"/>
        <v>0</v>
      </c>
      <c r="E33" s="22">
        <f t="shared" si="3"/>
        <v>0</v>
      </c>
      <c r="F33" s="22"/>
      <c r="G33" s="2454"/>
      <c r="H33" s="9"/>
      <c r="I33" s="1281" t="s">
        <v>1646</v>
      </c>
      <c r="J33" s="15"/>
      <c r="K33" s="15"/>
      <c r="L33" s="15"/>
      <c r="M33" s="2455"/>
      <c r="O33" s="1305"/>
      <c r="P33" s="1306"/>
      <c r="Q33" s="1307"/>
      <c r="R33" s="19"/>
      <c r="S33" s="1279">
        <f t="shared" si="4"/>
        <v>0</v>
      </c>
      <c r="T33" s="332">
        <f t="shared" si="5"/>
        <v>0</v>
      </c>
      <c r="U33" s="18" t="str">
        <f>IF(ISBLANK(O33),"",(O33/S11)*T11)</f>
        <v/>
      </c>
      <c r="V33" s="17">
        <f t="shared" si="6"/>
        <v>0</v>
      </c>
      <c r="W33" s="1319">
        <f>S33/S11</f>
        <v>0</v>
      </c>
    </row>
    <row r="34" spans="1:23" ht="18.95" customHeight="1">
      <c r="A34" s="2453"/>
      <c r="B34" s="1437" t="str">
        <f t="shared" si="0"/>
        <v/>
      </c>
      <c r="C34" s="1438">
        <f t="shared" si="7"/>
        <v>0</v>
      </c>
      <c r="D34" s="1451">
        <f t="shared" si="2"/>
        <v>0</v>
      </c>
      <c r="E34" s="22">
        <f t="shared" si="3"/>
        <v>0</v>
      </c>
      <c r="F34" s="22"/>
      <c r="G34" s="2454"/>
      <c r="H34" s="9"/>
      <c r="I34" s="1281" t="s">
        <v>1647</v>
      </c>
      <c r="J34" s="15"/>
      <c r="K34" s="15"/>
      <c r="L34" s="15"/>
      <c r="M34" s="2455"/>
      <c r="O34" s="1305"/>
      <c r="P34" s="1306"/>
      <c r="Q34" s="1307"/>
      <c r="R34" s="19"/>
      <c r="S34" s="1279">
        <f t="shared" si="4"/>
        <v>0</v>
      </c>
      <c r="T34" s="332">
        <f t="shared" si="5"/>
        <v>0</v>
      </c>
      <c r="U34" s="18" t="str">
        <f>IF(ISBLANK(O34),"",(O34/S11)*T11)</f>
        <v/>
      </c>
      <c r="V34" s="17">
        <f t="shared" si="6"/>
        <v>0</v>
      </c>
      <c r="W34" s="1319">
        <f>S34/S11</f>
        <v>0</v>
      </c>
    </row>
    <row r="35" spans="1:23" ht="18.95" customHeight="1">
      <c r="A35" s="2453"/>
      <c r="B35" s="1437" t="str">
        <f t="shared" si="0"/>
        <v/>
      </c>
      <c r="C35" s="1438">
        <f t="shared" si="7"/>
        <v>0</v>
      </c>
      <c r="D35" s="1451">
        <f t="shared" si="2"/>
        <v>0</v>
      </c>
      <c r="E35" s="22">
        <f t="shared" si="3"/>
        <v>0</v>
      </c>
      <c r="F35" s="22"/>
      <c r="G35" s="2454"/>
      <c r="H35" s="9"/>
      <c r="I35" s="1281"/>
      <c r="J35" s="15"/>
      <c r="K35" s="15"/>
      <c r="L35" s="15"/>
      <c r="M35" s="2455"/>
      <c r="O35" s="1305"/>
      <c r="P35" s="1306"/>
      <c r="Q35" s="1307"/>
      <c r="R35" s="19"/>
      <c r="S35" s="1279">
        <f t="shared" si="4"/>
        <v>0</v>
      </c>
      <c r="T35" s="332">
        <f t="shared" si="5"/>
        <v>0</v>
      </c>
      <c r="U35" s="18" t="str">
        <f>IF(ISBLANK(O35),"",(O35/S11)*T11)</f>
        <v/>
      </c>
      <c r="V35" s="17">
        <f t="shared" si="6"/>
        <v>0</v>
      </c>
      <c r="W35" s="1319">
        <f>S35/S11</f>
        <v>0</v>
      </c>
    </row>
    <row r="36" spans="1:23" ht="18.95" customHeight="1">
      <c r="A36" s="2453"/>
      <c r="B36" s="1437" t="str">
        <f t="shared" si="0"/>
        <v/>
      </c>
      <c r="C36" s="1438">
        <f t="shared" si="7"/>
        <v>0</v>
      </c>
      <c r="D36" s="1451">
        <f t="shared" si="2"/>
        <v>0</v>
      </c>
      <c r="E36" s="22">
        <f t="shared" si="3"/>
        <v>0</v>
      </c>
      <c r="F36" s="22"/>
      <c r="G36" s="2454"/>
      <c r="H36" s="9"/>
      <c r="I36" s="1281" t="s">
        <v>1648</v>
      </c>
      <c r="J36" s="15"/>
      <c r="K36" s="15"/>
      <c r="L36" s="15"/>
      <c r="M36" s="2455"/>
      <c r="O36" s="1305"/>
      <c r="P36" s="1306"/>
      <c r="Q36" s="1307"/>
      <c r="R36" s="19"/>
      <c r="S36" s="1279">
        <f t="shared" si="4"/>
        <v>0</v>
      </c>
      <c r="T36" s="332">
        <f t="shared" si="5"/>
        <v>0</v>
      </c>
      <c r="U36" s="18" t="str">
        <f>IF(ISBLANK(O36),"",(O36/S11)*T11)</f>
        <v/>
      </c>
      <c r="V36" s="17">
        <f t="shared" si="6"/>
        <v>0</v>
      </c>
      <c r="W36" s="1319">
        <f>S36/S11</f>
        <v>0</v>
      </c>
    </row>
    <row r="37" spans="1:23" ht="18.95" customHeight="1">
      <c r="A37" s="2453"/>
      <c r="B37" s="1437" t="str">
        <f t="shared" si="0"/>
        <v/>
      </c>
      <c r="C37" s="1438">
        <f t="shared" si="7"/>
        <v>0</v>
      </c>
      <c r="D37" s="1451">
        <f t="shared" si="2"/>
        <v>0</v>
      </c>
      <c r="E37" s="22">
        <f t="shared" si="3"/>
        <v>0</v>
      </c>
      <c r="F37" s="22"/>
      <c r="G37" s="2454"/>
      <c r="H37" s="9"/>
      <c r="I37" s="1281" t="s">
        <v>1649</v>
      </c>
      <c r="J37" s="15"/>
      <c r="K37" s="15"/>
      <c r="L37" s="15"/>
      <c r="M37" s="2455"/>
      <c r="O37" s="1305"/>
      <c r="P37" s="1306"/>
      <c r="Q37" s="1307"/>
      <c r="R37" s="19"/>
      <c r="S37" s="1279">
        <f t="shared" si="4"/>
        <v>0</v>
      </c>
      <c r="T37" s="332">
        <f t="shared" si="5"/>
        <v>0</v>
      </c>
      <c r="U37" s="18" t="str">
        <f>IF(ISBLANK(O37),"",(O37/S11)*T11)</f>
        <v/>
      </c>
      <c r="V37" s="17">
        <f t="shared" si="6"/>
        <v>0</v>
      </c>
      <c r="W37" s="1319">
        <f>S37/S11</f>
        <v>0</v>
      </c>
    </row>
    <row r="38" spans="1:23" ht="18.95" customHeight="1">
      <c r="A38" s="2453"/>
      <c r="B38" s="1437" t="str">
        <f t="shared" si="0"/>
        <v/>
      </c>
      <c r="C38" s="1438">
        <f t="shared" si="7"/>
        <v>0</v>
      </c>
      <c r="D38" s="1451">
        <f t="shared" si="2"/>
        <v>0</v>
      </c>
      <c r="E38" s="22">
        <f t="shared" si="3"/>
        <v>0</v>
      </c>
      <c r="F38" s="22"/>
      <c r="G38" s="2454"/>
      <c r="H38" s="9"/>
      <c r="I38" s="1281" t="s">
        <v>1650</v>
      </c>
      <c r="J38" s="15"/>
      <c r="K38" s="15"/>
      <c r="L38" s="15"/>
      <c r="M38" s="2455"/>
      <c r="O38" s="1305"/>
      <c r="P38" s="1306"/>
      <c r="Q38" s="1307"/>
      <c r="R38" s="19"/>
      <c r="S38" s="1279">
        <f t="shared" si="4"/>
        <v>0</v>
      </c>
      <c r="T38" s="332">
        <f t="shared" si="5"/>
        <v>0</v>
      </c>
      <c r="U38" s="18" t="str">
        <f>IF(ISBLANK(O38),"",(O38/S11)*T11)</f>
        <v/>
      </c>
      <c r="V38" s="17">
        <f t="shared" si="6"/>
        <v>0</v>
      </c>
      <c r="W38" s="1319">
        <f>S38/S11</f>
        <v>0</v>
      </c>
    </row>
    <row r="39" spans="1:23" ht="18.95" customHeight="1">
      <c r="A39" s="2453"/>
      <c r="B39" s="1437" t="str">
        <f t="shared" si="0"/>
        <v/>
      </c>
      <c r="C39" s="1438">
        <f t="shared" si="7"/>
        <v>0</v>
      </c>
      <c r="D39" s="1451">
        <f t="shared" si="2"/>
        <v>0</v>
      </c>
      <c r="E39" s="22">
        <f t="shared" si="3"/>
        <v>0</v>
      </c>
      <c r="F39" s="22"/>
      <c r="G39" s="2454"/>
      <c r="H39" s="9"/>
      <c r="I39" s="1281" t="s">
        <v>1651</v>
      </c>
      <c r="J39" s="15"/>
      <c r="K39" s="15"/>
      <c r="L39" s="15"/>
      <c r="M39" s="2455"/>
      <c r="O39" s="1305"/>
      <c r="P39" s="1306"/>
      <c r="Q39" s="1307"/>
      <c r="R39" s="19"/>
      <c r="S39" s="1279">
        <f t="shared" si="4"/>
        <v>0</v>
      </c>
      <c r="T39" s="332">
        <f t="shared" si="5"/>
        <v>0</v>
      </c>
      <c r="U39" s="18" t="str">
        <f>IF(ISBLANK(O39),"",(O39/S11)*T11)</f>
        <v/>
      </c>
      <c r="V39" s="17">
        <f t="shared" si="6"/>
        <v>0</v>
      </c>
      <c r="W39" s="1319">
        <f>S39/S11</f>
        <v>0</v>
      </c>
    </row>
    <row r="40" spans="1:23" ht="18.95" customHeight="1">
      <c r="A40" s="2453"/>
      <c r="B40" s="1437" t="str">
        <f t="shared" si="0"/>
        <v/>
      </c>
      <c r="C40" s="1438">
        <f t="shared" si="7"/>
        <v>0</v>
      </c>
      <c r="D40" s="1451">
        <f t="shared" si="2"/>
        <v>0</v>
      </c>
      <c r="E40" s="22">
        <f t="shared" si="3"/>
        <v>0</v>
      </c>
      <c r="F40" s="22"/>
      <c r="G40" s="2454"/>
      <c r="H40" s="9"/>
      <c r="I40" s="15"/>
      <c r="J40" s="15"/>
      <c r="K40" s="15"/>
      <c r="L40" s="15"/>
      <c r="M40" s="2455"/>
      <c r="O40" s="1305"/>
      <c r="P40" s="1306"/>
      <c r="Q40" s="1307"/>
      <c r="R40" s="19"/>
      <c r="S40" s="1279">
        <f t="shared" si="4"/>
        <v>0</v>
      </c>
      <c r="T40" s="332">
        <f t="shared" si="5"/>
        <v>0</v>
      </c>
      <c r="U40" s="18" t="str">
        <f>IF(ISBLANK(O40),"",(O40/S11)*T11)</f>
        <v/>
      </c>
      <c r="V40" s="17">
        <f t="shared" si="6"/>
        <v>0</v>
      </c>
      <c r="W40" s="1319">
        <f>S40/S11</f>
        <v>0</v>
      </c>
    </row>
    <row r="41" spans="1:23" ht="18.95" customHeight="1">
      <c r="A41" s="2453"/>
      <c r="B41" s="1437" t="str">
        <f t="shared" si="0"/>
        <v/>
      </c>
      <c r="C41" s="1438">
        <f t="shared" si="7"/>
        <v>0</v>
      </c>
      <c r="D41" s="1451">
        <f t="shared" si="2"/>
        <v>0</v>
      </c>
      <c r="E41" s="22">
        <f t="shared" si="3"/>
        <v>0</v>
      </c>
      <c r="F41" s="22"/>
      <c r="G41" s="2454"/>
      <c r="H41" s="9"/>
      <c r="I41" s="15"/>
      <c r="J41" s="15"/>
      <c r="K41" s="15"/>
      <c r="L41" s="15"/>
      <c r="M41" s="2455"/>
      <c r="O41" s="1305"/>
      <c r="P41" s="1306"/>
      <c r="Q41" s="1307"/>
      <c r="R41" s="19"/>
      <c r="S41" s="1279">
        <f t="shared" si="4"/>
        <v>0</v>
      </c>
      <c r="T41" s="332">
        <f t="shared" si="5"/>
        <v>0</v>
      </c>
      <c r="U41" s="18" t="str">
        <f>IF(ISBLANK(O41),"",(O41/S11)*T11)</f>
        <v/>
      </c>
      <c r="V41" s="17">
        <f t="shared" si="6"/>
        <v>0</v>
      </c>
      <c r="W41" s="1319">
        <f>S41/S11</f>
        <v>0</v>
      </c>
    </row>
    <row r="42" spans="1:23" ht="18.95" customHeight="1">
      <c r="A42" s="2453"/>
      <c r="B42" s="1437" t="str">
        <f t="shared" si="0"/>
        <v/>
      </c>
      <c r="C42" s="1438">
        <f t="shared" si="7"/>
        <v>0</v>
      </c>
      <c r="D42" s="1451">
        <f t="shared" si="2"/>
        <v>0</v>
      </c>
      <c r="E42" s="22">
        <f t="shared" si="3"/>
        <v>0</v>
      </c>
      <c r="F42" s="22"/>
      <c r="G42" s="2454"/>
      <c r="H42" s="9"/>
      <c r="I42" s="15"/>
      <c r="J42" s="15"/>
      <c r="K42" s="15"/>
      <c r="L42" s="15"/>
      <c r="M42" s="2455"/>
      <c r="O42" s="1305"/>
      <c r="P42" s="1306"/>
      <c r="Q42" s="1307"/>
      <c r="R42" s="19"/>
      <c r="S42" s="1279">
        <f t="shared" si="4"/>
        <v>0</v>
      </c>
      <c r="T42" s="332">
        <f t="shared" si="5"/>
        <v>0</v>
      </c>
      <c r="U42" s="18" t="str">
        <f>IF(ISBLANK(O42),"",(O42/S11)*T11)</f>
        <v/>
      </c>
      <c r="V42" s="17">
        <f t="shared" si="6"/>
        <v>0</v>
      </c>
      <c r="W42" s="1319">
        <f>S42/S11</f>
        <v>0</v>
      </c>
    </row>
    <row r="43" spans="1:23" ht="18.95" customHeight="1">
      <c r="A43" s="2453"/>
      <c r="B43" s="606" t="s">
        <v>22</v>
      </c>
      <c r="C43" s="606"/>
      <c r="D43" s="606" t="s">
        <v>585</v>
      </c>
      <c r="E43" s="606"/>
      <c r="F43" s="606"/>
      <c r="G43" s="2454"/>
      <c r="H43" s="606"/>
      <c r="I43" s="606"/>
      <c r="J43" s="606"/>
      <c r="K43" s="606"/>
      <c r="L43" s="606"/>
      <c r="M43" s="2455"/>
      <c r="O43" s="14"/>
      <c r="P43" s="13"/>
      <c r="Q43" s="653">
        <f>SUM(Q12:Q42)</f>
        <v>104.875</v>
      </c>
      <c r="R43" s="13"/>
      <c r="S43" s="1287">
        <f>SUM(S12:S42)</f>
        <v>104.875</v>
      </c>
      <c r="T43" s="597"/>
      <c r="U43" s="597"/>
      <c r="V43" s="621"/>
      <c r="W43" s="598"/>
    </row>
    <row r="44" spans="1:23" ht="18.95" customHeight="1" thickBot="1">
      <c r="A44" s="2453"/>
      <c r="B44" s="1311">
        <f>SUM(B13:B42)</f>
        <v>0</v>
      </c>
      <c r="C44" s="1299"/>
      <c r="D44" s="1299">
        <f>SUM(D13:D42)</f>
        <v>5.0000000000000009</v>
      </c>
      <c r="E44" s="1076" t="s">
        <v>1590</v>
      </c>
      <c r="F44" s="606"/>
      <c r="G44" s="2454"/>
      <c r="H44" s="1932" t="s">
        <v>7</v>
      </c>
      <c r="I44" s="1933" t="str">
        <f ca="1">CELL("nomfichier")</f>
        <v>F:\Bureau\pour UPRT 5 decembre\[re-boudins-blancs.xlsx]CONTENU</v>
      </c>
      <c r="J44" s="606"/>
      <c r="K44" s="606"/>
      <c r="L44" s="606"/>
      <c r="M44" s="2455"/>
      <c r="O44" s="2437" t="s">
        <v>6</v>
      </c>
      <c r="P44" s="787" t="s">
        <v>5</v>
      </c>
      <c r="Q44" s="1315" t="s">
        <v>1700</v>
      </c>
      <c r="R44" s="790"/>
      <c r="S44" s="780"/>
      <c r="T44" s="1316">
        <f>SUM(T13:T43)</f>
        <v>999.99999999999989</v>
      </c>
      <c r="U44" s="1317">
        <f>SUM(U13:U43)</f>
        <v>0</v>
      </c>
      <c r="V44" s="1112" t="s">
        <v>14</v>
      </c>
      <c r="W44" s="1113"/>
    </row>
    <row r="45" spans="1:23" ht="18.95" customHeight="1">
      <c r="A45" s="2453"/>
      <c r="B45" s="748" t="str">
        <f>ADDRESS(ROW(),COLUMN(F45),4)</f>
        <v>F45</v>
      </c>
      <c r="C45" s="2611" t="s">
        <v>1574</v>
      </c>
      <c r="D45" s="2611"/>
      <c r="E45" s="1063" t="s">
        <v>1578</v>
      </c>
      <c r="F45" s="781">
        <v>12</v>
      </c>
      <c r="G45" s="2454"/>
      <c r="H45" s="2612">
        <f>(F46*F45)</f>
        <v>1.5</v>
      </c>
      <c r="I45" s="2613"/>
      <c r="J45" s="2616" t="s">
        <v>1577</v>
      </c>
      <c r="K45" s="2617"/>
      <c r="L45" s="774"/>
      <c r="M45" s="2455"/>
      <c r="O45" s="2610"/>
      <c r="P45" s="788" t="s">
        <v>5</v>
      </c>
      <c r="Q45" s="788"/>
      <c r="R45" s="788"/>
      <c r="S45" s="789"/>
      <c r="T45" s="1298"/>
      <c r="U45" s="786"/>
      <c r="V45" s="775"/>
      <c r="W45" s="775"/>
    </row>
    <row r="46" spans="1:23" ht="19.5" customHeight="1" thickBot="1">
      <c r="A46" s="2453"/>
      <c r="B46" s="748" t="str">
        <f>ADDRESS(ROW(),COLUMN(F46),4)</f>
        <v>F46</v>
      </c>
      <c r="C46" s="2611"/>
      <c r="D46" s="2611"/>
      <c r="E46" s="1064" t="s">
        <v>1579</v>
      </c>
      <c r="F46" s="1310">
        <v>0.125</v>
      </c>
      <c r="G46" s="2454"/>
      <c r="H46" s="2614"/>
      <c r="I46" s="2615"/>
      <c r="J46" s="2616"/>
      <c r="K46" s="2617"/>
      <c r="L46" s="774"/>
      <c r="M46" s="2455"/>
      <c r="O46" s="53"/>
      <c r="P46" s="53"/>
      <c r="Q46" s="1070" t="s">
        <v>1569</v>
      </c>
      <c r="R46" s="53"/>
      <c r="S46" s="53"/>
      <c r="T46" s="53"/>
      <c r="U46" s="53"/>
      <c r="V46" s="53"/>
      <c r="W46" s="53"/>
    </row>
    <row r="47" spans="1:23" ht="19.5" customHeight="1">
      <c r="A47" s="2453"/>
      <c r="B47" s="748" t="str">
        <f t="shared" ref="B47:B48" si="8">ADDRESS(ROW(),COLUMN(F47),4)</f>
        <v>F47</v>
      </c>
      <c r="C47" s="2611"/>
      <c r="D47" s="2611"/>
      <c r="E47" s="1326" t="s">
        <v>1580</v>
      </c>
      <c r="F47" s="1324">
        <f>L8</f>
        <v>37.037037037037038</v>
      </c>
      <c r="G47" s="2454"/>
      <c r="H47" s="2612">
        <f>((S43/F47)*F48)</f>
        <v>28.316249999999997</v>
      </c>
      <c r="I47" s="2613"/>
      <c r="J47" s="2616"/>
      <c r="K47" s="2617"/>
      <c r="L47" s="774"/>
      <c r="M47" s="2455"/>
      <c r="O47" s="53"/>
      <c r="P47" s="53"/>
      <c r="Q47" s="1071">
        <v>6</v>
      </c>
      <c r="R47" s="53"/>
      <c r="S47" s="53"/>
      <c r="T47" s="53"/>
      <c r="U47" s="53"/>
      <c r="V47" s="53"/>
      <c r="W47" s="53"/>
    </row>
    <row r="48" spans="1:23" ht="19.5" customHeight="1" thickBot="1">
      <c r="A48" s="2453"/>
      <c r="B48" s="748" t="str">
        <f t="shared" si="8"/>
        <v>F48</v>
      </c>
      <c r="C48" s="2611"/>
      <c r="D48" s="2611"/>
      <c r="E48" s="1326" t="s">
        <v>1586</v>
      </c>
      <c r="F48" s="1325">
        <v>10</v>
      </c>
      <c r="G48" s="2454"/>
      <c r="H48" s="2614"/>
      <c r="I48" s="2615"/>
      <c r="J48" s="2616"/>
      <c r="K48" s="2617"/>
      <c r="L48" s="774"/>
      <c r="M48" s="1087" t="s">
        <v>818</v>
      </c>
      <c r="O48" s="53"/>
      <c r="P48" s="53"/>
      <c r="Q48" s="1071">
        <v>6</v>
      </c>
      <c r="R48" s="53"/>
      <c r="S48" s="53"/>
      <c r="T48" s="53"/>
      <c r="U48" s="53"/>
      <c r="V48" s="53"/>
      <c r="W48" s="53"/>
    </row>
    <row r="49" spans="2:19" ht="18.95" customHeight="1" thickBot="1"/>
    <row r="50" spans="2:19" ht="18.95" customHeight="1">
      <c r="O50" s="1321" t="str">
        <f>ADDRESS(ROW(),COLUMN(),4)</f>
        <v>O50</v>
      </c>
      <c r="P50" s="2439" t="s">
        <v>1569</v>
      </c>
      <c r="Q50" s="2439"/>
      <c r="R50" s="2439"/>
      <c r="S50" s="2440"/>
    </row>
    <row r="51" spans="2:19" ht="18.95" customHeight="1">
      <c r="B51" s="1057" t="s">
        <v>1571</v>
      </c>
      <c r="C51" s="2633" t="s">
        <v>1570</v>
      </c>
      <c r="D51" s="2633"/>
      <c r="E51" s="2633"/>
      <c r="O51" s="1322" t="s">
        <v>1705</v>
      </c>
      <c r="P51" s="2441"/>
      <c r="Q51" s="2441"/>
      <c r="R51" s="2441"/>
      <c r="S51" s="2442"/>
    </row>
    <row r="52" spans="2:19" ht="21" customHeight="1">
      <c r="B52" s="1057" t="s">
        <v>1571</v>
      </c>
      <c r="C52" s="2634" t="s">
        <v>1572</v>
      </c>
      <c r="D52" s="2634"/>
      <c r="E52" s="2634"/>
      <c r="O52" s="2380" t="s">
        <v>144</v>
      </c>
      <c r="P52" s="2381"/>
      <c r="Q52" s="2381"/>
      <c r="R52" s="2381"/>
      <c r="S52" s="2382"/>
    </row>
    <row r="53" spans="2:19" ht="27" customHeight="1">
      <c r="O53" s="2380"/>
      <c r="P53" s="2381"/>
      <c r="Q53" s="2381"/>
      <c r="R53" s="2381"/>
      <c r="S53" s="2382"/>
    </row>
    <row r="54" spans="2:19" ht="15" customHeight="1">
      <c r="O54" s="2431" t="s">
        <v>1602</v>
      </c>
      <c r="P54" s="2432"/>
      <c r="Q54" s="2432"/>
      <c r="R54" s="2432"/>
      <c r="S54" s="2433"/>
    </row>
    <row r="55" spans="2:19" ht="15" customHeight="1">
      <c r="O55" s="2431"/>
      <c r="P55" s="2432"/>
      <c r="Q55" s="2432"/>
      <c r="R55" s="2432"/>
      <c r="S55" s="2433"/>
    </row>
    <row r="56" spans="2:19" ht="15" customHeight="1">
      <c r="O56" s="2434" t="s">
        <v>1603</v>
      </c>
      <c r="P56" s="2435"/>
      <c r="Q56" s="2435"/>
      <c r="R56" s="2435"/>
      <c r="S56" s="2436"/>
    </row>
    <row r="57" spans="2:19" ht="15" customHeight="1">
      <c r="O57" s="1128"/>
      <c r="P57" s="1126"/>
      <c r="Q57" s="1126"/>
      <c r="R57" s="1126"/>
      <c r="S57" s="1129"/>
    </row>
    <row r="58" spans="2:19" ht="15" customHeight="1">
      <c r="O58" s="2411" t="s">
        <v>1605</v>
      </c>
      <c r="P58" s="2412"/>
      <c r="Q58" s="2412"/>
      <c r="R58" s="2412"/>
      <c r="S58" s="1127" t="str">
        <f>LEFT(ADDRESS(1,COLUMN(),4),LEN(ADDRESS(1,COLUMN(),4))-1)</f>
        <v>S</v>
      </c>
    </row>
    <row r="59" spans="2:19" ht="15.75" customHeight="1">
      <c r="O59" s="734" t="s">
        <v>1593</v>
      </c>
      <c r="P59" s="1"/>
      <c r="Q59" s="1"/>
      <c r="R59" s="1"/>
      <c r="S59" s="2"/>
    </row>
    <row r="60" spans="2:19" ht="15.75" customHeight="1">
      <c r="O60" s="2420" t="s">
        <v>1604</v>
      </c>
      <c r="P60" s="2421"/>
      <c r="Q60" s="2421"/>
      <c r="R60" s="2421"/>
      <c r="S60" s="2"/>
    </row>
    <row r="61" spans="2:19" ht="18.75" customHeight="1">
      <c r="O61" s="2420"/>
      <c r="P61" s="2421"/>
      <c r="Q61" s="2421"/>
      <c r="R61" s="2421"/>
      <c r="S61" s="2"/>
    </row>
    <row r="62" spans="2:19" ht="18.75" customHeight="1">
      <c r="O62" s="2420"/>
      <c r="P62" s="2421"/>
      <c r="Q62" s="2421"/>
      <c r="R62" s="2421"/>
      <c r="S62" s="2"/>
    </row>
    <row r="63" spans="2:19" ht="15" customHeight="1">
      <c r="O63" s="1086" t="s">
        <v>1594</v>
      </c>
      <c r="P63" s="1"/>
      <c r="Q63" s="1"/>
      <c r="R63" s="1"/>
      <c r="S63" s="2"/>
    </row>
    <row r="64" spans="2:19" ht="15" customHeight="1">
      <c r="O64" s="1130"/>
      <c r="P64" s="1131"/>
      <c r="Q64" s="1131"/>
      <c r="R64" s="1131"/>
      <c r="S64" s="1132"/>
    </row>
    <row r="65" spans="15:19" ht="15" customHeight="1">
      <c r="O65" s="1093" t="s">
        <v>75</v>
      </c>
      <c r="P65" s="2379" t="s">
        <v>670</v>
      </c>
      <c r="Q65" s="2379"/>
      <c r="R65" s="2379"/>
      <c r="S65" s="1094" t="str">
        <f>+ADDRESS(ROW(P5),COLUMN(P5),4)</f>
        <v>P5</v>
      </c>
    </row>
    <row r="66" spans="15:19" ht="15" customHeight="1">
      <c r="O66" s="2384" t="s">
        <v>72</v>
      </c>
      <c r="P66" s="2385" t="s">
        <v>669</v>
      </c>
      <c r="Q66" s="2385"/>
      <c r="R66" s="2385"/>
      <c r="S66" s="2386" t="str">
        <f>ADDRESS(ROW(),COLUMN(P6),4)</f>
        <v>P66</v>
      </c>
    </row>
    <row r="67" spans="15:19" ht="15" customHeight="1">
      <c r="O67" s="2384"/>
      <c r="P67" s="2385"/>
      <c r="Q67" s="2385"/>
      <c r="R67" s="2385"/>
      <c r="S67" s="2386"/>
    </row>
    <row r="68" spans="15:19" ht="15.75" customHeight="1">
      <c r="O68" s="1152" t="s">
        <v>71</v>
      </c>
      <c r="P68" s="1092"/>
      <c r="Q68" s="1092"/>
      <c r="R68" s="1092"/>
      <c r="S68" s="1095" t="str">
        <f>ADDRESS(ROW(),COLUMN(R7),4)</f>
        <v>R68</v>
      </c>
    </row>
    <row r="69" spans="15:19">
      <c r="O69" s="2387" t="s">
        <v>684</v>
      </c>
      <c r="P69" s="2385"/>
      <c r="Q69" s="2385"/>
      <c r="R69" s="2385"/>
      <c r="S69" s="2388"/>
    </row>
    <row r="70" spans="15:19">
      <c r="O70" s="2387"/>
      <c r="P70" s="2385"/>
      <c r="Q70" s="2385"/>
      <c r="R70" s="2385"/>
      <c r="S70" s="2388"/>
    </row>
    <row r="71" spans="15:19" ht="15.75">
      <c r="O71" s="1043"/>
      <c r="P71" s="1039"/>
      <c r="Q71" s="1039"/>
      <c r="R71" s="1039"/>
      <c r="S71" s="1103" t="s">
        <v>1584</v>
      </c>
    </row>
    <row r="72" spans="15:19" ht="15.75">
      <c r="O72" s="2389" t="s">
        <v>62</v>
      </c>
      <c r="P72" s="2390"/>
      <c r="Q72" s="2390"/>
      <c r="R72" s="2390"/>
      <c r="S72" s="2378" t="str">
        <f>LEFT(ADDRESS(1,COLUMN(R12),4),LEN(ADDRESS(1,COLUMN(),4))-1)</f>
        <v>R</v>
      </c>
    </row>
    <row r="73" spans="15:19" ht="15.75">
      <c r="O73" s="1150" t="s">
        <v>61</v>
      </c>
      <c r="P73" s="1038" t="s">
        <v>60</v>
      </c>
      <c r="Q73" s="1056" t="s">
        <v>63</v>
      </c>
      <c r="R73" s="1151"/>
      <c r="S73" s="2378"/>
    </row>
    <row r="74" spans="15:19" ht="15.75" customHeight="1">
      <c r="O74" s="1083" t="str">
        <f>LEFT(ADDRESS(1,COLUMN(O12),4),LEN(ADDRESS(1,COLUMN(),4))-1)</f>
        <v>O</v>
      </c>
      <c r="P74" s="1084" t="str">
        <f>LEFT(ADDRESS(1,COLUMN(P12),4),LEN(ADDRESS(1,COLUMN(),4))-1)</f>
        <v>P</v>
      </c>
      <c r="Q74" s="1085" t="str">
        <f>LEFT(ADDRESS(1,COLUMN(Q12),4),LEN(ADDRESS(1,COLUMN(),4))-1)</f>
        <v>Q</v>
      </c>
      <c r="R74" s="1040"/>
      <c r="S74" s="1096"/>
    </row>
    <row r="75" spans="15:19" ht="18">
      <c r="O75" s="1044" t="s">
        <v>1562</v>
      </c>
      <c r="P75" s="1035"/>
      <c r="Q75" s="1035"/>
      <c r="R75" s="1035"/>
      <c r="S75" s="1097" t="str">
        <f>ADDRESS(ROW(L9),COLUMN(L9),4)</f>
        <v>L9</v>
      </c>
    </row>
    <row r="76" spans="15:19" ht="18">
      <c r="O76" s="1045"/>
      <c r="P76" s="1041"/>
      <c r="Q76" s="1041"/>
      <c r="R76" s="1041"/>
      <c r="S76" s="1098"/>
    </row>
    <row r="77" spans="15:19" ht="18.75">
      <c r="O77" s="1046" t="s">
        <v>1563</v>
      </c>
      <c r="P77" s="1047"/>
      <c r="Q77" s="1047"/>
      <c r="R77" s="1047"/>
      <c r="S77" s="1099" t="str">
        <f>ADDRESS(ROW(O44),COLUMN(O44),4)</f>
        <v>O44</v>
      </c>
    </row>
    <row r="78" spans="15:19" ht="15.75" customHeight="1">
      <c r="O78" s="1048" t="s">
        <v>696</v>
      </c>
      <c r="P78" s="347"/>
      <c r="Q78" s="347"/>
      <c r="R78" s="710"/>
      <c r="S78" s="1049"/>
    </row>
    <row r="79" spans="15:19" ht="15.75">
      <c r="O79" s="1048"/>
      <c r="P79" s="710"/>
      <c r="Q79" s="710"/>
      <c r="R79" s="710"/>
      <c r="S79" s="1103" t="s">
        <v>1576</v>
      </c>
    </row>
    <row r="80" spans="15:19" ht="15.75" customHeight="1">
      <c r="O80" s="1052" t="s">
        <v>1606</v>
      </c>
      <c r="P80" s="1037"/>
      <c r="Q80" s="1037"/>
      <c r="R80" s="1037"/>
      <c r="S80" s="1149" t="str">
        <f>ADDRESS(ROW(D8),COLUMN(D8),4)</f>
        <v>D8</v>
      </c>
    </row>
    <row r="81" spans="15:19" ht="15" customHeight="1">
      <c r="O81" s="1053" t="s">
        <v>1561</v>
      </c>
      <c r="P81" s="347"/>
      <c r="Q81" s="347"/>
      <c r="R81" s="710"/>
      <c r="S81" s="1100"/>
    </row>
    <row r="82" spans="15:19" ht="15.75" customHeight="1">
      <c r="O82" s="1054"/>
      <c r="P82" s="710"/>
      <c r="Q82" s="710"/>
      <c r="R82" s="710"/>
      <c r="S82" s="1100"/>
    </row>
    <row r="83" spans="15:19" ht="15" customHeight="1">
      <c r="O83" s="2623" t="s">
        <v>1582</v>
      </c>
      <c r="P83" s="2624"/>
      <c r="Q83" s="2624"/>
      <c r="R83" s="2624"/>
      <c r="S83" s="2402"/>
    </row>
    <row r="84" spans="15:19" ht="15" customHeight="1">
      <c r="O84" s="2403" t="s">
        <v>1587</v>
      </c>
      <c r="P84" s="2404"/>
      <c r="Q84" s="2404"/>
      <c r="R84" s="2404"/>
      <c r="S84" s="2625"/>
    </row>
    <row r="85" spans="15:19" ht="15" customHeight="1">
      <c r="O85" s="2403"/>
      <c r="P85" s="2404"/>
      <c r="Q85" s="2404"/>
      <c r="R85" s="2404"/>
      <c r="S85" s="2625"/>
    </row>
    <row r="86" spans="15:19" ht="15" customHeight="1">
      <c r="O86" s="2522" t="s">
        <v>1601</v>
      </c>
      <c r="P86" s="2523"/>
      <c r="Q86" s="2523"/>
      <c r="R86" s="2523"/>
      <c r="S86" s="2409" t="str">
        <f>ADDRESS(ROW(D8),COLUMN(D8),4)</f>
        <v>D8</v>
      </c>
    </row>
    <row r="87" spans="15:19" ht="15" customHeight="1">
      <c r="O87" s="2524"/>
      <c r="P87" s="2525"/>
      <c r="Q87" s="2525"/>
      <c r="R87" s="2525"/>
      <c r="S87" s="2410"/>
    </row>
    <row r="88" spans="15:19" ht="19.5" customHeight="1">
      <c r="O88" s="2391" t="str">
        <f>ADDRESS(ROW(H8),COLUMN(H8),4)</f>
        <v>H8</v>
      </c>
      <c r="P88" s="2627" t="s">
        <v>1703</v>
      </c>
      <c r="Q88" s="2627"/>
      <c r="R88" s="2628" t="s">
        <v>1704</v>
      </c>
      <c r="S88" s="2638">
        <f>L8</f>
        <v>37.037037037037038</v>
      </c>
    </row>
    <row r="89" spans="15:19">
      <c r="O89" s="2526"/>
      <c r="P89" s="2394"/>
      <c r="Q89" s="2394"/>
      <c r="R89" s="2396"/>
      <c r="S89" s="2639"/>
    </row>
    <row r="90" spans="15:19" ht="15" customHeight="1">
      <c r="O90" s="1088" t="str">
        <f>ADDRESS(ROW(H10),COLUMN(H10),4)</f>
        <v>H10</v>
      </c>
      <c r="P90" s="1078" t="s">
        <v>1592</v>
      </c>
      <c r="Q90" s="1079"/>
      <c r="R90" s="1077"/>
      <c r="S90" s="1089"/>
    </row>
    <row r="91" spans="15:19" ht="15" customHeight="1">
      <c r="O91" s="1090" t="str">
        <f>ADDRESS(ROW(H11),COLUMN(H11),4)</f>
        <v>H11</v>
      </c>
      <c r="P91" s="1080" t="s">
        <v>1591</v>
      </c>
      <c r="Q91" s="1081"/>
      <c r="R91" s="1121" t="s">
        <v>1599</v>
      </c>
      <c r="S91" s="1122">
        <f>L10</f>
        <v>31.25</v>
      </c>
    </row>
    <row r="92" spans="15:19" ht="15" customHeight="1">
      <c r="O92" s="1137"/>
      <c r="P92" s="1133"/>
      <c r="Q92" s="1134"/>
      <c r="R92" s="1135"/>
      <c r="S92" s="1136"/>
    </row>
    <row r="93" spans="15:19" ht="15" customHeight="1">
      <c r="O93" s="2635" t="s">
        <v>1588</v>
      </c>
      <c r="P93" s="2636"/>
      <c r="Q93" s="2636"/>
      <c r="R93" s="2636"/>
      <c r="S93" s="2637"/>
    </row>
    <row r="94" spans="15:19" ht="15" customHeight="1">
      <c r="O94" s="681"/>
      <c r="P94" s="44"/>
      <c r="Q94" s="44"/>
      <c r="R94" s="44"/>
      <c r="S94" s="1103" t="s">
        <v>1576</v>
      </c>
    </row>
    <row r="95" spans="15:19" ht="18.75">
      <c r="O95" s="2529" t="s">
        <v>1578</v>
      </c>
      <c r="P95" s="2530"/>
      <c r="Q95" s="2530"/>
      <c r="R95" s="2531"/>
      <c r="S95" s="1148" t="str">
        <f>B45</f>
        <v>F45</v>
      </c>
    </row>
    <row r="96" spans="15:19" ht="18.75" customHeight="1" thickBot="1">
      <c r="O96" s="2532" t="s">
        <v>1579</v>
      </c>
      <c r="P96" s="2533"/>
      <c r="Q96" s="2533"/>
      <c r="R96" s="2533"/>
      <c r="S96" s="1065" t="str">
        <f>B46</f>
        <v>F46</v>
      </c>
    </row>
    <row r="97" spans="10:19">
      <c r="O97" s="2534" t="s">
        <v>1580</v>
      </c>
      <c r="P97" s="2535"/>
      <c r="Q97" s="2535"/>
      <c r="R97" s="2535"/>
      <c r="S97" s="2536" t="str">
        <f>B47</f>
        <v>F47</v>
      </c>
    </row>
    <row r="98" spans="10:19" ht="15" customHeight="1">
      <c r="O98" s="2534"/>
      <c r="P98" s="2535"/>
      <c r="Q98" s="2535"/>
      <c r="R98" s="2535"/>
      <c r="S98" s="2537"/>
    </row>
    <row r="99" spans="10:19" ht="15" customHeight="1">
      <c r="O99" s="2534" t="s">
        <v>1581</v>
      </c>
      <c r="P99" s="2535"/>
      <c r="Q99" s="2535"/>
      <c r="R99" s="2535"/>
      <c r="S99" s="2537" t="str">
        <f>B48</f>
        <v>F48</v>
      </c>
    </row>
    <row r="100" spans="10:19" ht="15" customHeight="1">
      <c r="O100" s="2534"/>
      <c r="P100" s="2535"/>
      <c r="Q100" s="2535"/>
      <c r="R100" s="2535"/>
      <c r="S100" s="2537"/>
    </row>
    <row r="101" spans="10:19" ht="15" customHeight="1">
      <c r="O101" s="2372" t="s">
        <v>754</v>
      </c>
      <c r="P101" s="2373"/>
      <c r="Q101" s="2373"/>
      <c r="R101" s="2373"/>
      <c r="S101" s="2374"/>
    </row>
    <row r="102" spans="10:19">
      <c r="O102" s="2372"/>
      <c r="P102" s="2373"/>
      <c r="Q102" s="2373"/>
      <c r="R102" s="2373"/>
      <c r="S102" s="2374"/>
    </row>
    <row r="103" spans="10:19" ht="18.75">
      <c r="O103" s="2375" t="s">
        <v>756</v>
      </c>
      <c r="P103" s="2376"/>
      <c r="Q103" s="2376"/>
      <c r="R103" s="2376"/>
      <c r="S103" s="2377"/>
    </row>
    <row r="104" spans="10:19" ht="19.5" thickBot="1">
      <c r="J104" s="58"/>
      <c r="K104" s="58"/>
      <c r="L104" s="58"/>
      <c r="M104" s="58"/>
      <c r="O104" s="1123"/>
      <c r="P104" s="2365" t="s">
        <v>757</v>
      </c>
      <c r="Q104" s="2365"/>
      <c r="R104" s="1124" t="e">
        <f>LEFT(ADDRESS(1,COLUMN(#REF!),4),LEN(ADDRESS(1,COLUMN(#REF!),4))-1)</f>
        <v>#REF!</v>
      </c>
      <c r="S104" s="1125"/>
    </row>
    <row r="105" spans="10:19">
      <c r="O105" s="2366" t="s">
        <v>151</v>
      </c>
      <c r="P105" s="2367"/>
      <c r="Q105" s="2367"/>
      <c r="R105" s="2367"/>
      <c r="S105" s="2368"/>
    </row>
    <row r="106" spans="10:19">
      <c r="O106" s="2369"/>
      <c r="P106" s="2370"/>
      <c r="Q106" s="2370"/>
      <c r="R106" s="2370"/>
      <c r="S106" s="2371"/>
    </row>
    <row r="107" spans="10:19">
      <c r="O107" s="2369"/>
      <c r="P107" s="2370"/>
      <c r="Q107" s="2370"/>
      <c r="R107" s="2370"/>
      <c r="S107" s="2371"/>
    </row>
    <row r="108" spans="10:19" ht="16.5" thickBot="1">
      <c r="O108" s="1138"/>
      <c r="P108" s="1139"/>
      <c r="Q108" s="1139"/>
      <c r="R108" s="1139"/>
      <c r="S108" s="1140"/>
    </row>
    <row r="109" spans="10:19">
      <c r="J109" s="58"/>
      <c r="K109" s="58"/>
      <c r="L109" s="58"/>
      <c r="M109" s="58"/>
    </row>
    <row r="111" spans="10:19" ht="15" customHeight="1">
      <c r="O111" s="2513">
        <v>0.13500000000000001</v>
      </c>
      <c r="P111" s="2627" t="s">
        <v>1703</v>
      </c>
      <c r="Q111" s="2627"/>
      <c r="R111" s="2628" t="s">
        <v>1704</v>
      </c>
      <c r="S111" s="2629">
        <v>776.85185185185185</v>
      </c>
    </row>
    <row r="112" spans="10:19" ht="15" customHeight="1">
      <c r="O112" s="2514"/>
      <c r="P112" s="2394"/>
      <c r="Q112" s="2394"/>
      <c r="R112" s="2396"/>
      <c r="S112" s="2630"/>
    </row>
    <row r="114" spans="10:19">
      <c r="O114" s="2513">
        <v>0.13500000000000001</v>
      </c>
      <c r="P114" s="2627" t="s">
        <v>1703</v>
      </c>
      <c r="Q114" s="2627"/>
      <c r="R114" s="2628" t="s">
        <v>1704</v>
      </c>
      <c r="S114" s="2629">
        <v>776.85185185185185</v>
      </c>
    </row>
    <row r="115" spans="10:19">
      <c r="O115" s="2514"/>
      <c r="P115" s="2394"/>
      <c r="Q115" s="2394"/>
      <c r="R115" s="2396"/>
      <c r="S115" s="2630"/>
    </row>
    <row r="116" spans="10:19" ht="18.75">
      <c r="O116" s="1082">
        <v>250</v>
      </c>
      <c r="P116" s="1078" t="s">
        <v>1697</v>
      </c>
      <c r="Q116" s="1079"/>
      <c r="R116" s="1077"/>
      <c r="S116" s="2626">
        <v>31.25</v>
      </c>
    </row>
    <row r="117" spans="10:19" ht="15.75">
      <c r="J117" s="58"/>
      <c r="K117" s="58"/>
      <c r="L117" s="58"/>
      <c r="M117" s="58"/>
      <c r="O117" s="1304">
        <v>0.125</v>
      </c>
      <c r="P117" s="1080" t="s">
        <v>1695</v>
      </c>
      <c r="Q117" s="1081"/>
      <c r="R117" s="1121" t="s">
        <v>1599</v>
      </c>
      <c r="S117" s="2518"/>
    </row>
    <row r="118" spans="10:19" ht="15" customHeight="1"/>
    <row r="119" spans="10:19" ht="15" customHeight="1"/>
    <row r="120" spans="10:19" ht="15" customHeight="1"/>
    <row r="121" spans="10:19" ht="15" customHeight="1"/>
    <row r="122" spans="10:19" ht="15" customHeight="1"/>
    <row r="123" spans="10:19" ht="15" customHeight="1"/>
    <row r="124" spans="10:19" ht="15" customHeight="1"/>
    <row r="125" spans="10:19" ht="15" customHeight="1"/>
    <row r="126" spans="10:19" ht="15" customHeight="1"/>
    <row r="127" spans="10:19" ht="15" customHeight="1"/>
    <row r="128" spans="10:19" ht="15" customHeight="1"/>
    <row r="129" ht="15" customHeight="1"/>
  </sheetData>
  <mergeCells count="75">
    <mergeCell ref="R88:R89"/>
    <mergeCell ref="S88:S89"/>
    <mergeCell ref="O101:S102"/>
    <mergeCell ref="O103:S103"/>
    <mergeCell ref="P104:Q104"/>
    <mergeCell ref="O97:R98"/>
    <mergeCell ref="O99:R100"/>
    <mergeCell ref="S99:S100"/>
    <mergeCell ref="S97:S98"/>
    <mergeCell ref="O105:S107"/>
    <mergeCell ref="A6:A48"/>
    <mergeCell ref="O88:O89"/>
    <mergeCell ref="P88:Q89"/>
    <mergeCell ref="H8:H9"/>
    <mergeCell ref="I8:J9"/>
    <mergeCell ref="L8:L9"/>
    <mergeCell ref="K8:K9"/>
    <mergeCell ref="L10:L11"/>
    <mergeCell ref="C51:E51"/>
    <mergeCell ref="C52:E52"/>
    <mergeCell ref="O56:S56"/>
    <mergeCell ref="P50:S51"/>
    <mergeCell ref="O93:S93"/>
    <mergeCell ref="O95:R95"/>
    <mergeCell ref="O96:R96"/>
    <mergeCell ref="S116:S117"/>
    <mergeCell ref="O111:O112"/>
    <mergeCell ref="P111:Q112"/>
    <mergeCell ref="R111:R112"/>
    <mergeCell ref="S111:S112"/>
    <mergeCell ref="O114:O115"/>
    <mergeCell ref="P114:Q115"/>
    <mergeCell ref="R114:R115"/>
    <mergeCell ref="S114:S115"/>
    <mergeCell ref="S66:S67"/>
    <mergeCell ref="O52:S53"/>
    <mergeCell ref="O54:S55"/>
    <mergeCell ref="P65:R65"/>
    <mergeCell ref="O66:O67"/>
    <mergeCell ref="P66:R67"/>
    <mergeCell ref="O58:R58"/>
    <mergeCell ref="O60:R62"/>
    <mergeCell ref="O86:R87"/>
    <mergeCell ref="S86:S87"/>
    <mergeCell ref="O69:S70"/>
    <mergeCell ref="O72:R72"/>
    <mergeCell ref="S72:S73"/>
    <mergeCell ref="O83:S83"/>
    <mergeCell ref="O84:S85"/>
    <mergeCell ref="W8:W11"/>
    <mergeCell ref="P6:S6"/>
    <mergeCell ref="T6:W7"/>
    <mergeCell ref="K7:L7"/>
    <mergeCell ref="R7:S7"/>
    <mergeCell ref="T11:V11"/>
    <mergeCell ref="T8:V10"/>
    <mergeCell ref="M6:M47"/>
    <mergeCell ref="I14:L15"/>
    <mergeCell ref="I16:L17"/>
    <mergeCell ref="I18:L19"/>
    <mergeCell ref="I20:L21"/>
    <mergeCell ref="H47:I48"/>
    <mergeCell ref="B8:C8"/>
    <mergeCell ref="O44:O45"/>
    <mergeCell ref="C45:D48"/>
    <mergeCell ref="H45:I46"/>
    <mergeCell ref="J45:K48"/>
    <mergeCell ref="D8:D9"/>
    <mergeCell ref="G6:G48"/>
    <mergeCell ref="B2:M2"/>
    <mergeCell ref="B4:M4"/>
    <mergeCell ref="O4:S4"/>
    <mergeCell ref="B5:E5"/>
    <mergeCell ref="H5:K5"/>
    <mergeCell ref="P5:R5"/>
  </mergeCells>
  <hyperlinks>
    <hyperlink ref="C51" r:id="rId1"/>
    <hyperlink ref="C52:E52" r:id="rId2" display="Visuellement, ça représente quoi 100 calories ?"/>
    <hyperlink ref="Q44" r:id="rId3"/>
  </hyperlinks>
  <printOptions horizontalCentered="1"/>
  <pageMargins left="0.25" right="0.25" top="0.75" bottom="0.75" header="0.3" footer="0.3"/>
  <pageSetup paperSize="9" scale="18"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98"/>
  <sheetViews>
    <sheetView workbookViewId="0">
      <selection activeCell="F107" sqref="F107"/>
    </sheetView>
  </sheetViews>
  <sheetFormatPr baseColWidth="10" defaultRowHeight="12.75"/>
  <cols>
    <col min="1" max="1" width="2.28515625" style="755" customWidth="1"/>
    <col min="2" max="2" width="40.7109375" style="755" customWidth="1"/>
    <col min="3" max="5" width="12.7109375" style="755" customWidth="1"/>
    <col min="6" max="6" width="20.7109375" style="755" customWidth="1"/>
    <col min="7" max="8" width="12.7109375" style="755" customWidth="1"/>
    <col min="9" max="9" width="11.42578125" style="755"/>
    <col min="10" max="10" width="77.140625" style="755" customWidth="1"/>
    <col min="11" max="256" width="11.42578125" style="755"/>
    <col min="257" max="257" width="40.5703125" style="755" customWidth="1"/>
    <col min="258" max="258" width="29.140625" style="755" customWidth="1"/>
    <col min="259" max="259" width="22.85546875" style="755" customWidth="1"/>
    <col min="260" max="260" width="18.85546875" style="755" customWidth="1"/>
    <col min="261" max="261" width="20" style="755" customWidth="1"/>
    <col min="262" max="512" width="11.42578125" style="755"/>
    <col min="513" max="513" width="40.5703125" style="755" customWidth="1"/>
    <col min="514" max="514" width="29.140625" style="755" customWidth="1"/>
    <col min="515" max="515" width="22.85546875" style="755" customWidth="1"/>
    <col min="516" max="516" width="18.85546875" style="755" customWidth="1"/>
    <col min="517" max="517" width="20" style="755" customWidth="1"/>
    <col min="518" max="768" width="11.42578125" style="755"/>
    <col min="769" max="769" width="40.5703125" style="755" customWidth="1"/>
    <col min="770" max="770" width="29.140625" style="755" customWidth="1"/>
    <col min="771" max="771" width="22.85546875" style="755" customWidth="1"/>
    <col min="772" max="772" width="18.85546875" style="755" customWidth="1"/>
    <col min="773" max="773" width="20" style="755" customWidth="1"/>
    <col min="774" max="1024" width="11.42578125" style="755"/>
    <col min="1025" max="1025" width="40.5703125" style="755" customWidth="1"/>
    <col min="1026" max="1026" width="29.140625" style="755" customWidth="1"/>
    <col min="1027" max="1027" width="22.85546875" style="755" customWidth="1"/>
    <col min="1028" max="1028" width="18.85546875" style="755" customWidth="1"/>
    <col min="1029" max="1029" width="20" style="755" customWidth="1"/>
    <col min="1030" max="1280" width="11.42578125" style="755"/>
    <col min="1281" max="1281" width="40.5703125" style="755" customWidth="1"/>
    <col min="1282" max="1282" width="29.140625" style="755" customWidth="1"/>
    <col min="1283" max="1283" width="22.85546875" style="755" customWidth="1"/>
    <col min="1284" max="1284" width="18.85546875" style="755" customWidth="1"/>
    <col min="1285" max="1285" width="20" style="755" customWidth="1"/>
    <col min="1286" max="1536" width="11.42578125" style="755"/>
    <col min="1537" max="1537" width="40.5703125" style="755" customWidth="1"/>
    <col min="1538" max="1538" width="29.140625" style="755" customWidth="1"/>
    <col min="1539" max="1539" width="22.85546875" style="755" customWidth="1"/>
    <col min="1540" max="1540" width="18.85546875" style="755" customWidth="1"/>
    <col min="1541" max="1541" width="20" style="755" customWidth="1"/>
    <col min="1542" max="1792" width="11.42578125" style="755"/>
    <col min="1793" max="1793" width="40.5703125" style="755" customWidth="1"/>
    <col min="1794" max="1794" width="29.140625" style="755" customWidth="1"/>
    <col min="1795" max="1795" width="22.85546875" style="755" customWidth="1"/>
    <col min="1796" max="1796" width="18.85546875" style="755" customWidth="1"/>
    <col min="1797" max="1797" width="20" style="755" customWidth="1"/>
    <col min="1798" max="2048" width="11.42578125" style="755"/>
    <col min="2049" max="2049" width="40.5703125" style="755" customWidth="1"/>
    <col min="2050" max="2050" width="29.140625" style="755" customWidth="1"/>
    <col min="2051" max="2051" width="22.85546875" style="755" customWidth="1"/>
    <col min="2052" max="2052" width="18.85546875" style="755" customWidth="1"/>
    <col min="2053" max="2053" width="20" style="755" customWidth="1"/>
    <col min="2054" max="2304" width="11.42578125" style="755"/>
    <col min="2305" max="2305" width="40.5703125" style="755" customWidth="1"/>
    <col min="2306" max="2306" width="29.140625" style="755" customWidth="1"/>
    <col min="2307" max="2307" width="22.85546875" style="755" customWidth="1"/>
    <col min="2308" max="2308" width="18.85546875" style="755" customWidth="1"/>
    <col min="2309" max="2309" width="20" style="755" customWidth="1"/>
    <col min="2310" max="2560" width="11.42578125" style="755"/>
    <col min="2561" max="2561" width="40.5703125" style="755" customWidth="1"/>
    <col min="2562" max="2562" width="29.140625" style="755" customWidth="1"/>
    <col min="2563" max="2563" width="22.85546875" style="755" customWidth="1"/>
    <col min="2564" max="2564" width="18.85546875" style="755" customWidth="1"/>
    <col min="2565" max="2565" width="20" style="755" customWidth="1"/>
    <col min="2566" max="2816" width="11.42578125" style="755"/>
    <col min="2817" max="2817" width="40.5703125" style="755" customWidth="1"/>
    <col min="2818" max="2818" width="29.140625" style="755" customWidth="1"/>
    <col min="2819" max="2819" width="22.85546875" style="755" customWidth="1"/>
    <col min="2820" max="2820" width="18.85546875" style="755" customWidth="1"/>
    <col min="2821" max="2821" width="20" style="755" customWidth="1"/>
    <col min="2822" max="3072" width="11.42578125" style="755"/>
    <col min="3073" max="3073" width="40.5703125" style="755" customWidth="1"/>
    <col min="3074" max="3074" width="29.140625" style="755" customWidth="1"/>
    <col min="3075" max="3075" width="22.85546875" style="755" customWidth="1"/>
    <col min="3076" max="3076" width="18.85546875" style="755" customWidth="1"/>
    <col min="3077" max="3077" width="20" style="755" customWidth="1"/>
    <col min="3078" max="3328" width="11.42578125" style="755"/>
    <col min="3329" max="3329" width="40.5703125" style="755" customWidth="1"/>
    <col min="3330" max="3330" width="29.140625" style="755" customWidth="1"/>
    <col min="3331" max="3331" width="22.85546875" style="755" customWidth="1"/>
    <col min="3332" max="3332" width="18.85546875" style="755" customWidth="1"/>
    <col min="3333" max="3333" width="20" style="755" customWidth="1"/>
    <col min="3334" max="3584" width="11.42578125" style="755"/>
    <col min="3585" max="3585" width="40.5703125" style="755" customWidth="1"/>
    <col min="3586" max="3586" width="29.140625" style="755" customWidth="1"/>
    <col min="3587" max="3587" width="22.85546875" style="755" customWidth="1"/>
    <col min="3588" max="3588" width="18.85546875" style="755" customWidth="1"/>
    <col min="3589" max="3589" width="20" style="755" customWidth="1"/>
    <col min="3590" max="3840" width="11.42578125" style="755"/>
    <col min="3841" max="3841" width="40.5703125" style="755" customWidth="1"/>
    <col min="3842" max="3842" width="29.140625" style="755" customWidth="1"/>
    <col min="3843" max="3843" width="22.85546875" style="755" customWidth="1"/>
    <col min="3844" max="3844" width="18.85546875" style="755" customWidth="1"/>
    <col min="3845" max="3845" width="20" style="755" customWidth="1"/>
    <col min="3846" max="4096" width="11.42578125" style="755"/>
    <col min="4097" max="4097" width="40.5703125" style="755" customWidth="1"/>
    <col min="4098" max="4098" width="29.140625" style="755" customWidth="1"/>
    <col min="4099" max="4099" width="22.85546875" style="755" customWidth="1"/>
    <col min="4100" max="4100" width="18.85546875" style="755" customWidth="1"/>
    <col min="4101" max="4101" width="20" style="755" customWidth="1"/>
    <col min="4102" max="4352" width="11.42578125" style="755"/>
    <col min="4353" max="4353" width="40.5703125" style="755" customWidth="1"/>
    <col min="4354" max="4354" width="29.140625" style="755" customWidth="1"/>
    <col min="4355" max="4355" width="22.85546875" style="755" customWidth="1"/>
    <col min="4356" max="4356" width="18.85546875" style="755" customWidth="1"/>
    <col min="4357" max="4357" width="20" style="755" customWidth="1"/>
    <col min="4358" max="4608" width="11.42578125" style="755"/>
    <col min="4609" max="4609" width="40.5703125" style="755" customWidth="1"/>
    <col min="4610" max="4610" width="29.140625" style="755" customWidth="1"/>
    <col min="4611" max="4611" width="22.85546875" style="755" customWidth="1"/>
    <col min="4612" max="4612" width="18.85546875" style="755" customWidth="1"/>
    <col min="4613" max="4613" width="20" style="755" customWidth="1"/>
    <col min="4614" max="4864" width="11.42578125" style="755"/>
    <col min="4865" max="4865" width="40.5703125" style="755" customWidth="1"/>
    <col min="4866" max="4866" width="29.140625" style="755" customWidth="1"/>
    <col min="4867" max="4867" width="22.85546875" style="755" customWidth="1"/>
    <col min="4868" max="4868" width="18.85546875" style="755" customWidth="1"/>
    <col min="4869" max="4869" width="20" style="755" customWidth="1"/>
    <col min="4870" max="5120" width="11.42578125" style="755"/>
    <col min="5121" max="5121" width="40.5703125" style="755" customWidth="1"/>
    <col min="5122" max="5122" width="29.140625" style="755" customWidth="1"/>
    <col min="5123" max="5123" width="22.85546875" style="755" customWidth="1"/>
    <col min="5124" max="5124" width="18.85546875" style="755" customWidth="1"/>
    <col min="5125" max="5125" width="20" style="755" customWidth="1"/>
    <col min="5126" max="5376" width="11.42578125" style="755"/>
    <col min="5377" max="5377" width="40.5703125" style="755" customWidth="1"/>
    <col min="5378" max="5378" width="29.140625" style="755" customWidth="1"/>
    <col min="5379" max="5379" width="22.85546875" style="755" customWidth="1"/>
    <col min="5380" max="5380" width="18.85546875" style="755" customWidth="1"/>
    <col min="5381" max="5381" width="20" style="755" customWidth="1"/>
    <col min="5382" max="5632" width="11.42578125" style="755"/>
    <col min="5633" max="5633" width="40.5703125" style="755" customWidth="1"/>
    <col min="5634" max="5634" width="29.140625" style="755" customWidth="1"/>
    <col min="5635" max="5635" width="22.85546875" style="755" customWidth="1"/>
    <col min="5636" max="5636" width="18.85546875" style="755" customWidth="1"/>
    <col min="5637" max="5637" width="20" style="755" customWidth="1"/>
    <col min="5638" max="5888" width="11.42578125" style="755"/>
    <col min="5889" max="5889" width="40.5703125" style="755" customWidth="1"/>
    <col min="5890" max="5890" width="29.140625" style="755" customWidth="1"/>
    <col min="5891" max="5891" width="22.85546875" style="755" customWidth="1"/>
    <col min="5892" max="5892" width="18.85546875" style="755" customWidth="1"/>
    <col min="5893" max="5893" width="20" style="755" customWidth="1"/>
    <col min="5894" max="6144" width="11.42578125" style="755"/>
    <col min="6145" max="6145" width="40.5703125" style="755" customWidth="1"/>
    <col min="6146" max="6146" width="29.140625" style="755" customWidth="1"/>
    <col min="6147" max="6147" width="22.85546875" style="755" customWidth="1"/>
    <col min="6148" max="6148" width="18.85546875" style="755" customWidth="1"/>
    <col min="6149" max="6149" width="20" style="755" customWidth="1"/>
    <col min="6150" max="6400" width="11.42578125" style="755"/>
    <col min="6401" max="6401" width="40.5703125" style="755" customWidth="1"/>
    <col min="6402" max="6402" width="29.140625" style="755" customWidth="1"/>
    <col min="6403" max="6403" width="22.85546875" style="755" customWidth="1"/>
    <col min="6404" max="6404" width="18.85546875" style="755" customWidth="1"/>
    <col min="6405" max="6405" width="20" style="755" customWidth="1"/>
    <col min="6406" max="6656" width="11.42578125" style="755"/>
    <col min="6657" max="6657" width="40.5703125" style="755" customWidth="1"/>
    <col min="6658" max="6658" width="29.140625" style="755" customWidth="1"/>
    <col min="6659" max="6659" width="22.85546875" style="755" customWidth="1"/>
    <col min="6660" max="6660" width="18.85546875" style="755" customWidth="1"/>
    <col min="6661" max="6661" width="20" style="755" customWidth="1"/>
    <col min="6662" max="6912" width="11.42578125" style="755"/>
    <col min="6913" max="6913" width="40.5703125" style="755" customWidth="1"/>
    <col min="6914" max="6914" width="29.140625" style="755" customWidth="1"/>
    <col min="6915" max="6915" width="22.85546875" style="755" customWidth="1"/>
    <col min="6916" max="6916" width="18.85546875" style="755" customWidth="1"/>
    <col min="6917" max="6917" width="20" style="755" customWidth="1"/>
    <col min="6918" max="7168" width="11.42578125" style="755"/>
    <col min="7169" max="7169" width="40.5703125" style="755" customWidth="1"/>
    <col min="7170" max="7170" width="29.140625" style="755" customWidth="1"/>
    <col min="7171" max="7171" width="22.85546875" style="755" customWidth="1"/>
    <col min="7172" max="7172" width="18.85546875" style="755" customWidth="1"/>
    <col min="7173" max="7173" width="20" style="755" customWidth="1"/>
    <col min="7174" max="7424" width="11.42578125" style="755"/>
    <col min="7425" max="7425" width="40.5703125" style="755" customWidth="1"/>
    <col min="7426" max="7426" width="29.140625" style="755" customWidth="1"/>
    <col min="7427" max="7427" width="22.85546875" style="755" customWidth="1"/>
    <col min="7428" max="7428" width="18.85546875" style="755" customWidth="1"/>
    <col min="7429" max="7429" width="20" style="755" customWidth="1"/>
    <col min="7430" max="7680" width="11.42578125" style="755"/>
    <col min="7681" max="7681" width="40.5703125" style="755" customWidth="1"/>
    <col min="7682" max="7682" width="29.140625" style="755" customWidth="1"/>
    <col min="7683" max="7683" width="22.85546875" style="755" customWidth="1"/>
    <col min="7684" max="7684" width="18.85546875" style="755" customWidth="1"/>
    <col min="7685" max="7685" width="20" style="755" customWidth="1"/>
    <col min="7686" max="7936" width="11.42578125" style="755"/>
    <col min="7937" max="7937" width="40.5703125" style="755" customWidth="1"/>
    <col min="7938" max="7938" width="29.140625" style="755" customWidth="1"/>
    <col min="7939" max="7939" width="22.85546875" style="755" customWidth="1"/>
    <col min="7940" max="7940" width="18.85546875" style="755" customWidth="1"/>
    <col min="7941" max="7941" width="20" style="755" customWidth="1"/>
    <col min="7942" max="8192" width="11.42578125" style="755"/>
    <col min="8193" max="8193" width="40.5703125" style="755" customWidth="1"/>
    <col min="8194" max="8194" width="29.140625" style="755" customWidth="1"/>
    <col min="8195" max="8195" width="22.85546875" style="755" customWidth="1"/>
    <col min="8196" max="8196" width="18.85546875" style="755" customWidth="1"/>
    <col min="8197" max="8197" width="20" style="755" customWidth="1"/>
    <col min="8198" max="8448" width="11.42578125" style="755"/>
    <col min="8449" max="8449" width="40.5703125" style="755" customWidth="1"/>
    <col min="8450" max="8450" width="29.140625" style="755" customWidth="1"/>
    <col min="8451" max="8451" width="22.85546875" style="755" customWidth="1"/>
    <col min="8452" max="8452" width="18.85546875" style="755" customWidth="1"/>
    <col min="8453" max="8453" width="20" style="755" customWidth="1"/>
    <col min="8454" max="8704" width="11.42578125" style="755"/>
    <col min="8705" max="8705" width="40.5703125" style="755" customWidth="1"/>
    <col min="8706" max="8706" width="29.140625" style="755" customWidth="1"/>
    <col min="8707" max="8707" width="22.85546875" style="755" customWidth="1"/>
    <col min="8708" max="8708" width="18.85546875" style="755" customWidth="1"/>
    <col min="8709" max="8709" width="20" style="755" customWidth="1"/>
    <col min="8710" max="8960" width="11.42578125" style="755"/>
    <col min="8961" max="8961" width="40.5703125" style="755" customWidth="1"/>
    <col min="8962" max="8962" width="29.140625" style="755" customWidth="1"/>
    <col min="8963" max="8963" width="22.85546875" style="755" customWidth="1"/>
    <col min="8964" max="8964" width="18.85546875" style="755" customWidth="1"/>
    <col min="8965" max="8965" width="20" style="755" customWidth="1"/>
    <col min="8966" max="9216" width="11.42578125" style="755"/>
    <col min="9217" max="9217" width="40.5703125" style="755" customWidth="1"/>
    <col min="9218" max="9218" width="29.140625" style="755" customWidth="1"/>
    <col min="9219" max="9219" width="22.85546875" style="755" customWidth="1"/>
    <col min="9220" max="9220" width="18.85546875" style="755" customWidth="1"/>
    <col min="9221" max="9221" width="20" style="755" customWidth="1"/>
    <col min="9222" max="9472" width="11.42578125" style="755"/>
    <col min="9473" max="9473" width="40.5703125" style="755" customWidth="1"/>
    <col min="9474" max="9474" width="29.140625" style="755" customWidth="1"/>
    <col min="9475" max="9475" width="22.85546875" style="755" customWidth="1"/>
    <col min="9476" max="9476" width="18.85546875" style="755" customWidth="1"/>
    <col min="9477" max="9477" width="20" style="755" customWidth="1"/>
    <col min="9478" max="9728" width="11.42578125" style="755"/>
    <col min="9729" max="9729" width="40.5703125" style="755" customWidth="1"/>
    <col min="9730" max="9730" width="29.140625" style="755" customWidth="1"/>
    <col min="9731" max="9731" width="22.85546875" style="755" customWidth="1"/>
    <col min="9732" max="9732" width="18.85546875" style="755" customWidth="1"/>
    <col min="9733" max="9733" width="20" style="755" customWidth="1"/>
    <col min="9734" max="9984" width="11.42578125" style="755"/>
    <col min="9985" max="9985" width="40.5703125" style="755" customWidth="1"/>
    <col min="9986" max="9986" width="29.140625" style="755" customWidth="1"/>
    <col min="9987" max="9987" width="22.85546875" style="755" customWidth="1"/>
    <col min="9988" max="9988" width="18.85546875" style="755" customWidth="1"/>
    <col min="9989" max="9989" width="20" style="755" customWidth="1"/>
    <col min="9990" max="10240" width="11.42578125" style="755"/>
    <col min="10241" max="10241" width="40.5703125" style="755" customWidth="1"/>
    <col min="10242" max="10242" width="29.140625" style="755" customWidth="1"/>
    <col min="10243" max="10243" width="22.85546875" style="755" customWidth="1"/>
    <col min="10244" max="10244" width="18.85546875" style="755" customWidth="1"/>
    <col min="10245" max="10245" width="20" style="755" customWidth="1"/>
    <col min="10246" max="10496" width="11.42578125" style="755"/>
    <col min="10497" max="10497" width="40.5703125" style="755" customWidth="1"/>
    <col min="10498" max="10498" width="29.140625" style="755" customWidth="1"/>
    <col min="10499" max="10499" width="22.85546875" style="755" customWidth="1"/>
    <col min="10500" max="10500" width="18.85546875" style="755" customWidth="1"/>
    <col min="10501" max="10501" width="20" style="755" customWidth="1"/>
    <col min="10502" max="10752" width="11.42578125" style="755"/>
    <col min="10753" max="10753" width="40.5703125" style="755" customWidth="1"/>
    <col min="10754" max="10754" width="29.140625" style="755" customWidth="1"/>
    <col min="10755" max="10755" width="22.85546875" style="755" customWidth="1"/>
    <col min="10756" max="10756" width="18.85546875" style="755" customWidth="1"/>
    <col min="10757" max="10757" width="20" style="755" customWidth="1"/>
    <col min="10758" max="11008" width="11.42578125" style="755"/>
    <col min="11009" max="11009" width="40.5703125" style="755" customWidth="1"/>
    <col min="11010" max="11010" width="29.140625" style="755" customWidth="1"/>
    <col min="11011" max="11011" width="22.85546875" style="755" customWidth="1"/>
    <col min="11012" max="11012" width="18.85546875" style="755" customWidth="1"/>
    <col min="11013" max="11013" width="20" style="755" customWidth="1"/>
    <col min="11014" max="11264" width="11.42578125" style="755"/>
    <col min="11265" max="11265" width="40.5703125" style="755" customWidth="1"/>
    <col min="11266" max="11266" width="29.140625" style="755" customWidth="1"/>
    <col min="11267" max="11267" width="22.85546875" style="755" customWidth="1"/>
    <col min="11268" max="11268" width="18.85546875" style="755" customWidth="1"/>
    <col min="11269" max="11269" width="20" style="755" customWidth="1"/>
    <col min="11270" max="11520" width="11.42578125" style="755"/>
    <col min="11521" max="11521" width="40.5703125" style="755" customWidth="1"/>
    <col min="11522" max="11522" width="29.140625" style="755" customWidth="1"/>
    <col min="11523" max="11523" width="22.85546875" style="755" customWidth="1"/>
    <col min="11524" max="11524" width="18.85546875" style="755" customWidth="1"/>
    <col min="11525" max="11525" width="20" style="755" customWidth="1"/>
    <col min="11526" max="11776" width="11.42578125" style="755"/>
    <col min="11777" max="11777" width="40.5703125" style="755" customWidth="1"/>
    <col min="11778" max="11778" width="29.140625" style="755" customWidth="1"/>
    <col min="11779" max="11779" width="22.85546875" style="755" customWidth="1"/>
    <col min="11780" max="11780" width="18.85546875" style="755" customWidth="1"/>
    <col min="11781" max="11781" width="20" style="755" customWidth="1"/>
    <col min="11782" max="12032" width="11.42578125" style="755"/>
    <col min="12033" max="12033" width="40.5703125" style="755" customWidth="1"/>
    <col min="12034" max="12034" width="29.140625" style="755" customWidth="1"/>
    <col min="12035" max="12035" width="22.85546875" style="755" customWidth="1"/>
    <col min="12036" max="12036" width="18.85546875" style="755" customWidth="1"/>
    <col min="12037" max="12037" width="20" style="755" customWidth="1"/>
    <col min="12038" max="12288" width="11.42578125" style="755"/>
    <col min="12289" max="12289" width="40.5703125" style="755" customWidth="1"/>
    <col min="12290" max="12290" width="29.140625" style="755" customWidth="1"/>
    <col min="12291" max="12291" width="22.85546875" style="755" customWidth="1"/>
    <col min="12292" max="12292" width="18.85546875" style="755" customWidth="1"/>
    <col min="12293" max="12293" width="20" style="755" customWidth="1"/>
    <col min="12294" max="12544" width="11.42578125" style="755"/>
    <col min="12545" max="12545" width="40.5703125" style="755" customWidth="1"/>
    <col min="12546" max="12546" width="29.140625" style="755" customWidth="1"/>
    <col min="12547" max="12547" width="22.85546875" style="755" customWidth="1"/>
    <col min="12548" max="12548" width="18.85546875" style="755" customWidth="1"/>
    <col min="12549" max="12549" width="20" style="755" customWidth="1"/>
    <col min="12550" max="12800" width="11.42578125" style="755"/>
    <col min="12801" max="12801" width="40.5703125" style="755" customWidth="1"/>
    <col min="12802" max="12802" width="29.140625" style="755" customWidth="1"/>
    <col min="12803" max="12803" width="22.85546875" style="755" customWidth="1"/>
    <col min="12804" max="12804" width="18.85546875" style="755" customWidth="1"/>
    <col min="12805" max="12805" width="20" style="755" customWidth="1"/>
    <col min="12806" max="13056" width="11.42578125" style="755"/>
    <col min="13057" max="13057" width="40.5703125" style="755" customWidth="1"/>
    <col min="13058" max="13058" width="29.140625" style="755" customWidth="1"/>
    <col min="13059" max="13059" width="22.85546875" style="755" customWidth="1"/>
    <col min="13060" max="13060" width="18.85546875" style="755" customWidth="1"/>
    <col min="13061" max="13061" width="20" style="755" customWidth="1"/>
    <col min="13062" max="13312" width="11.42578125" style="755"/>
    <col min="13313" max="13313" width="40.5703125" style="755" customWidth="1"/>
    <col min="13314" max="13314" width="29.140625" style="755" customWidth="1"/>
    <col min="13315" max="13315" width="22.85546875" style="755" customWidth="1"/>
    <col min="13316" max="13316" width="18.85546875" style="755" customWidth="1"/>
    <col min="13317" max="13317" width="20" style="755" customWidth="1"/>
    <col min="13318" max="13568" width="11.42578125" style="755"/>
    <col min="13569" max="13569" width="40.5703125" style="755" customWidth="1"/>
    <col min="13570" max="13570" width="29.140625" style="755" customWidth="1"/>
    <col min="13571" max="13571" width="22.85546875" style="755" customWidth="1"/>
    <col min="13572" max="13572" width="18.85546875" style="755" customWidth="1"/>
    <col min="13573" max="13573" width="20" style="755" customWidth="1"/>
    <col min="13574" max="13824" width="11.42578125" style="755"/>
    <col min="13825" max="13825" width="40.5703125" style="755" customWidth="1"/>
    <col min="13826" max="13826" width="29.140625" style="755" customWidth="1"/>
    <col min="13827" max="13827" width="22.85546875" style="755" customWidth="1"/>
    <col min="13828" max="13828" width="18.85546875" style="755" customWidth="1"/>
    <col min="13829" max="13829" width="20" style="755" customWidth="1"/>
    <col min="13830" max="14080" width="11.42578125" style="755"/>
    <col min="14081" max="14081" width="40.5703125" style="755" customWidth="1"/>
    <col min="14082" max="14082" width="29.140625" style="755" customWidth="1"/>
    <col min="14083" max="14083" width="22.85546875" style="755" customWidth="1"/>
    <col min="14084" max="14084" width="18.85546875" style="755" customWidth="1"/>
    <col min="14085" max="14085" width="20" style="755" customWidth="1"/>
    <col min="14086" max="14336" width="11.42578125" style="755"/>
    <col min="14337" max="14337" width="40.5703125" style="755" customWidth="1"/>
    <col min="14338" max="14338" width="29.140625" style="755" customWidth="1"/>
    <col min="14339" max="14339" width="22.85546875" style="755" customWidth="1"/>
    <col min="14340" max="14340" width="18.85546875" style="755" customWidth="1"/>
    <col min="14341" max="14341" width="20" style="755" customWidth="1"/>
    <col min="14342" max="14592" width="11.42578125" style="755"/>
    <col min="14593" max="14593" width="40.5703125" style="755" customWidth="1"/>
    <col min="14594" max="14594" width="29.140625" style="755" customWidth="1"/>
    <col min="14595" max="14595" width="22.85546875" style="755" customWidth="1"/>
    <col min="14596" max="14596" width="18.85546875" style="755" customWidth="1"/>
    <col min="14597" max="14597" width="20" style="755" customWidth="1"/>
    <col min="14598" max="14848" width="11.42578125" style="755"/>
    <col min="14849" max="14849" width="40.5703125" style="755" customWidth="1"/>
    <col min="14850" max="14850" width="29.140625" style="755" customWidth="1"/>
    <col min="14851" max="14851" width="22.85546875" style="755" customWidth="1"/>
    <col min="14852" max="14852" width="18.85546875" style="755" customWidth="1"/>
    <col min="14853" max="14853" width="20" style="755" customWidth="1"/>
    <col min="14854" max="15104" width="11.42578125" style="755"/>
    <col min="15105" max="15105" width="40.5703125" style="755" customWidth="1"/>
    <col min="15106" max="15106" width="29.140625" style="755" customWidth="1"/>
    <col min="15107" max="15107" width="22.85546875" style="755" customWidth="1"/>
    <col min="15108" max="15108" width="18.85546875" style="755" customWidth="1"/>
    <col min="15109" max="15109" width="20" style="755" customWidth="1"/>
    <col min="15110" max="15360" width="11.42578125" style="755"/>
    <col min="15361" max="15361" width="40.5703125" style="755" customWidth="1"/>
    <col min="15362" max="15362" width="29.140625" style="755" customWidth="1"/>
    <col min="15363" max="15363" width="22.85546875" style="755" customWidth="1"/>
    <col min="15364" max="15364" width="18.85546875" style="755" customWidth="1"/>
    <col min="15365" max="15365" width="20" style="755" customWidth="1"/>
    <col min="15366" max="15616" width="11.42578125" style="755"/>
    <col min="15617" max="15617" width="40.5703125" style="755" customWidth="1"/>
    <col min="15618" max="15618" width="29.140625" style="755" customWidth="1"/>
    <col min="15619" max="15619" width="22.85546875" style="755" customWidth="1"/>
    <col min="15620" max="15620" width="18.85546875" style="755" customWidth="1"/>
    <col min="15621" max="15621" width="20" style="755" customWidth="1"/>
    <col min="15622" max="15872" width="11.42578125" style="755"/>
    <col min="15873" max="15873" width="40.5703125" style="755" customWidth="1"/>
    <col min="15874" max="15874" width="29.140625" style="755" customWidth="1"/>
    <col min="15875" max="15875" width="22.85546875" style="755" customWidth="1"/>
    <col min="15876" max="15876" width="18.85546875" style="755" customWidth="1"/>
    <col min="15877" max="15877" width="20" style="755" customWidth="1"/>
    <col min="15878" max="16128" width="11.42578125" style="755"/>
    <col min="16129" max="16129" width="40.5703125" style="755" customWidth="1"/>
    <col min="16130" max="16130" width="29.140625" style="755" customWidth="1"/>
    <col min="16131" max="16131" width="22.85546875" style="755" customWidth="1"/>
    <col min="16132" max="16132" width="18.85546875" style="755" customWidth="1"/>
    <col min="16133" max="16133" width="20" style="755" customWidth="1"/>
    <col min="16134" max="16384" width="11.42578125" style="755"/>
  </cols>
  <sheetData>
    <row r="2" spans="2:9">
      <c r="B2" s="3533" t="s">
        <v>2563</v>
      </c>
      <c r="C2" s="3533"/>
      <c r="D2" s="3533"/>
      <c r="E2" s="3533"/>
      <c r="F2" s="3533"/>
      <c r="G2" s="3533"/>
      <c r="H2" s="3533"/>
    </row>
    <row r="3" spans="2:9">
      <c r="B3" s="3533"/>
      <c r="C3" s="3533"/>
      <c r="D3" s="3533"/>
      <c r="E3" s="3533"/>
      <c r="F3" s="3533"/>
      <c r="G3" s="3533"/>
      <c r="H3" s="3533"/>
    </row>
    <row r="4" spans="2:9">
      <c r="B4" s="3533"/>
      <c r="C4" s="3533"/>
      <c r="D4" s="3533"/>
      <c r="E4" s="3533"/>
      <c r="F4" s="3533"/>
      <c r="G4" s="3533"/>
      <c r="H4" s="3533"/>
    </row>
    <row r="7" spans="2:9" ht="13.5" thickBot="1">
      <c r="B7" s="3534">
        <v>40</v>
      </c>
      <c r="C7" s="3534">
        <v>12</v>
      </c>
      <c r="D7" s="3534">
        <v>12</v>
      </c>
      <c r="E7" s="3534">
        <v>12</v>
      </c>
      <c r="F7" s="3534">
        <v>20</v>
      </c>
      <c r="G7" s="3534">
        <v>12</v>
      </c>
      <c r="H7" s="3534">
        <v>12</v>
      </c>
      <c r="I7" s="3534" t="s">
        <v>475</v>
      </c>
    </row>
    <row r="8" spans="2:9" ht="18.95" customHeight="1">
      <c r="B8" s="3535" t="s">
        <v>2564</v>
      </c>
      <c r="C8" s="3536"/>
      <c r="D8" s="3536"/>
      <c r="E8" s="3536"/>
      <c r="F8" s="3536"/>
      <c r="G8" s="3536"/>
      <c r="H8" s="3537" t="s">
        <v>74</v>
      </c>
    </row>
    <row r="9" spans="2:9" ht="18.95" customHeight="1">
      <c r="B9" s="3538"/>
      <c r="C9" s="3539"/>
      <c r="D9" s="3539"/>
      <c r="E9" s="3539"/>
      <c r="F9" s="3539"/>
      <c r="G9" s="3539"/>
      <c r="H9" s="3540"/>
    </row>
    <row r="10" spans="2:9" ht="18.95" customHeight="1">
      <c r="B10" s="3541" t="s">
        <v>2565</v>
      </c>
      <c r="C10" s="3542"/>
      <c r="D10" s="3542"/>
      <c r="E10" s="3542"/>
      <c r="F10" s="3542"/>
      <c r="G10" s="3542"/>
      <c r="H10" s="3543"/>
    </row>
    <row r="11" spans="2:9" ht="18.95" customHeight="1">
      <c r="B11" s="3544"/>
      <c r="C11" s="3545"/>
      <c r="D11" s="3545"/>
      <c r="E11" s="3546" t="s">
        <v>2566</v>
      </c>
      <c r="F11" s="3547">
        <v>20</v>
      </c>
      <c r="G11" s="3548"/>
      <c r="H11" s="3549"/>
    </row>
    <row r="12" spans="2:9" ht="18.95" customHeight="1">
      <c r="B12" s="3550" t="s">
        <v>1614</v>
      </c>
      <c r="C12" s="3551" t="s">
        <v>2567</v>
      </c>
      <c r="D12" s="3552" t="s">
        <v>1759</v>
      </c>
      <c r="E12" s="3553" t="s">
        <v>21</v>
      </c>
      <c r="F12" s="3554" t="s">
        <v>2568</v>
      </c>
      <c r="G12" s="3555" t="s">
        <v>1618</v>
      </c>
      <c r="H12" s="3556" t="s">
        <v>1619</v>
      </c>
    </row>
    <row r="13" spans="2:9" ht="18.95" customHeight="1">
      <c r="B13" s="3557" t="s">
        <v>1620</v>
      </c>
      <c r="C13" s="3558">
        <v>34</v>
      </c>
      <c r="D13" s="3559">
        <f>C13/C24*1000</f>
        <v>324.19547079856977</v>
      </c>
      <c r="E13" s="3560">
        <f>C13/C24</f>
        <v>0.32419547079856975</v>
      </c>
      <c r="F13" s="3561">
        <f>E13*F11</f>
        <v>6.4839094159713948</v>
      </c>
      <c r="G13" s="3562"/>
      <c r="H13" s="3563">
        <f t="shared" ref="H13:H23" si="0">F13*G13</f>
        <v>0</v>
      </c>
    </row>
    <row r="14" spans="2:9" ht="18.95" customHeight="1">
      <c r="B14" s="3564" t="s">
        <v>1621</v>
      </c>
      <c r="C14" s="3565">
        <v>16</v>
      </c>
      <c r="D14" s="3566">
        <f>C14/C24*1000</f>
        <v>152.56257449344457</v>
      </c>
      <c r="E14" s="3567">
        <f>C14/C24</f>
        <v>0.15256257449344457</v>
      </c>
      <c r="F14" s="3568">
        <f>E14*F11</f>
        <v>3.0512514898688914</v>
      </c>
      <c r="G14" s="3569">
        <v>0</v>
      </c>
      <c r="H14" s="3570">
        <f t="shared" si="0"/>
        <v>0</v>
      </c>
    </row>
    <row r="15" spans="2:9" ht="18.95" customHeight="1">
      <c r="B15" s="3557" t="s">
        <v>1622</v>
      </c>
      <c r="C15" s="3558">
        <v>16</v>
      </c>
      <c r="D15" s="3559">
        <f>C15/C24*1000</f>
        <v>152.56257449344457</v>
      </c>
      <c r="E15" s="3560">
        <f>C15/C24</f>
        <v>0.15256257449344457</v>
      </c>
      <c r="F15" s="3571">
        <f>E15*F11</f>
        <v>3.0512514898688914</v>
      </c>
      <c r="G15" s="3562">
        <v>0</v>
      </c>
      <c r="H15" s="3563">
        <f t="shared" si="0"/>
        <v>0</v>
      </c>
    </row>
    <row r="16" spans="2:9" ht="18.95" customHeight="1">
      <c r="B16" s="3564" t="s">
        <v>1623</v>
      </c>
      <c r="C16" s="3565">
        <v>30</v>
      </c>
      <c r="D16" s="3566">
        <f>C16/C24*1000</f>
        <v>286.05482717520857</v>
      </c>
      <c r="E16" s="3567">
        <f>C16/C24</f>
        <v>0.28605482717520858</v>
      </c>
      <c r="F16" s="3568">
        <f>E16*F11</f>
        <v>5.7210965435041716</v>
      </c>
      <c r="G16" s="3569">
        <v>0</v>
      </c>
      <c r="H16" s="3570">
        <f t="shared" si="0"/>
        <v>0</v>
      </c>
    </row>
    <row r="17" spans="2:9" ht="18.95" customHeight="1">
      <c r="B17" s="3557" t="s">
        <v>579</v>
      </c>
      <c r="C17" s="3558">
        <v>6</v>
      </c>
      <c r="D17" s="3559">
        <f>C17/C24*1000</f>
        <v>57.210965435041714</v>
      </c>
      <c r="E17" s="3560">
        <f>C17/C24</f>
        <v>5.7210965435041714E-2</v>
      </c>
      <c r="F17" s="3571">
        <f>E17*F11</f>
        <v>1.1442193087008343</v>
      </c>
      <c r="G17" s="3562">
        <v>0</v>
      </c>
      <c r="H17" s="3563">
        <f t="shared" si="0"/>
        <v>0</v>
      </c>
    </row>
    <row r="18" spans="2:9" ht="18.95" customHeight="1">
      <c r="B18" s="3564" t="s">
        <v>1624</v>
      </c>
      <c r="C18" s="3565">
        <v>1.65</v>
      </c>
      <c r="D18" s="3566">
        <f>C18/C24*1000</f>
        <v>15.73301549463647</v>
      </c>
      <c r="E18" s="3567">
        <f>C18/C24</f>
        <v>1.573301549463647E-2</v>
      </c>
      <c r="F18" s="3568">
        <f>E18*F11</f>
        <v>0.31466030989272942</v>
      </c>
      <c r="G18" s="3569">
        <v>0</v>
      </c>
      <c r="H18" s="3570">
        <f t="shared" si="0"/>
        <v>0</v>
      </c>
    </row>
    <row r="19" spans="2:9" ht="18.95" customHeight="1">
      <c r="B19" s="3557" t="s">
        <v>1625</v>
      </c>
      <c r="C19" s="3558">
        <v>0.1</v>
      </c>
      <c r="D19" s="3559">
        <f>C19/C24*1000</f>
        <v>0.95351609058402864</v>
      </c>
      <c r="E19" s="3560">
        <f>C19/C24</f>
        <v>9.5351609058402862E-4</v>
      </c>
      <c r="F19" s="3571">
        <f>E19*F11</f>
        <v>1.9070321811680571E-2</v>
      </c>
      <c r="G19" s="3562">
        <v>0</v>
      </c>
      <c r="H19" s="3563">
        <f t="shared" si="0"/>
        <v>0</v>
      </c>
    </row>
    <row r="20" spans="2:9" ht="18.95" customHeight="1">
      <c r="B20" s="3564" t="s">
        <v>1626</v>
      </c>
      <c r="C20" s="3565">
        <v>0.1</v>
      </c>
      <c r="D20" s="3566">
        <f>C20/C24*1000</f>
        <v>0.95351609058402864</v>
      </c>
      <c r="E20" s="3567">
        <f>C20/C24</f>
        <v>9.5351609058402862E-4</v>
      </c>
      <c r="F20" s="3568">
        <f>E20*F11</f>
        <v>1.9070321811680571E-2</v>
      </c>
      <c r="G20" s="3569">
        <v>0</v>
      </c>
      <c r="H20" s="3570">
        <f t="shared" si="0"/>
        <v>0</v>
      </c>
    </row>
    <row r="21" spans="2:9" ht="18.95" customHeight="1">
      <c r="B21" s="3557" t="s">
        <v>1674</v>
      </c>
      <c r="C21" s="3558">
        <v>1</v>
      </c>
      <c r="D21" s="3559">
        <f>C21/C24*1000</f>
        <v>9.5351609058402857</v>
      </c>
      <c r="E21" s="3560">
        <f>C21/C24</f>
        <v>9.5351609058402856E-3</v>
      </c>
      <c r="F21" s="3571">
        <f>E21*F11</f>
        <v>0.19070321811680571</v>
      </c>
      <c r="G21" s="3562">
        <v>0</v>
      </c>
      <c r="H21" s="3563">
        <f t="shared" si="0"/>
        <v>0</v>
      </c>
    </row>
    <row r="22" spans="2:9" ht="18.95" customHeight="1">
      <c r="B22" s="3564" t="s">
        <v>1628</v>
      </c>
      <c r="C22" s="3565">
        <v>2.5000000000000001E-2</v>
      </c>
      <c r="D22" s="3566">
        <f>C22/C24*1000</f>
        <v>0.23837902264600716</v>
      </c>
      <c r="E22" s="3567">
        <f>C22/C24</f>
        <v>2.3837902264600716E-4</v>
      </c>
      <c r="F22" s="3568">
        <f>E22*F11</f>
        <v>4.7675804529201428E-3</v>
      </c>
      <c r="G22" s="3569">
        <v>0</v>
      </c>
      <c r="H22" s="3570">
        <f t="shared" si="0"/>
        <v>0</v>
      </c>
    </row>
    <row r="23" spans="2:9" ht="18.95" customHeight="1" thickBot="1">
      <c r="B23" s="3572"/>
      <c r="C23" s="3573">
        <v>0</v>
      </c>
      <c r="D23" s="3574">
        <f>C23/C24*1000</f>
        <v>0</v>
      </c>
      <c r="E23" s="3575">
        <f>C23/C24</f>
        <v>0</v>
      </c>
      <c r="F23" s="3576">
        <f>E23*F11</f>
        <v>0</v>
      </c>
      <c r="G23" s="3577">
        <v>0</v>
      </c>
      <c r="H23" s="3578">
        <f t="shared" si="0"/>
        <v>0</v>
      </c>
    </row>
    <row r="24" spans="2:9" ht="18.95" customHeight="1" thickTop="1" thickBot="1">
      <c r="B24" s="3579" t="s">
        <v>22</v>
      </c>
      <c r="C24" s="3580">
        <f>SUM(C13:C23)</f>
        <v>104.875</v>
      </c>
      <c r="D24" s="3581">
        <f>SUM(D13:D23)</f>
        <v>999.99999999999989</v>
      </c>
      <c r="E24" s="3582">
        <f>SUM(E13:E23)</f>
        <v>0.99999999999999989</v>
      </c>
      <c r="F24" s="3583">
        <f>SUM(F13:F23)</f>
        <v>20.000000000000004</v>
      </c>
      <c r="G24" s="3584">
        <f>H24/F24</f>
        <v>0</v>
      </c>
      <c r="H24" s="3585">
        <f>SUM(H13:H23)</f>
        <v>0</v>
      </c>
    </row>
    <row r="25" spans="2:9" ht="18.95" customHeight="1" thickTop="1" thickBot="1">
      <c r="B25" s="3586" t="s">
        <v>2569</v>
      </c>
      <c r="C25" s="3587" t="s">
        <v>1700</v>
      </c>
      <c r="D25" s="3588"/>
      <c r="E25" s="3588"/>
      <c r="F25" s="3588"/>
      <c r="G25" s="3588"/>
      <c r="H25" s="3589"/>
    </row>
    <row r="26" spans="2:9" ht="18.95" customHeight="1">
      <c r="B26" s="3590" t="s">
        <v>7</v>
      </c>
      <c r="C26" s="3591" t="str">
        <f ca="1">CELL("nomfichier")</f>
        <v>F:\Bureau\pour UPRT 5 decembre\[re-boudins-blancs.xlsx]CONTENU</v>
      </c>
      <c r="D26" s="3592"/>
      <c r="E26" s="3592"/>
      <c r="F26" s="3592"/>
      <c r="G26" s="3592"/>
      <c r="H26" s="3593"/>
    </row>
    <row r="27" spans="2:9" ht="18.95" customHeight="1">
      <c r="B27" s="3594" t="s">
        <v>2573</v>
      </c>
      <c r="C27" s="3595"/>
      <c r="D27" s="102"/>
      <c r="E27" s="102"/>
      <c r="F27" s="102"/>
      <c r="G27" s="102"/>
      <c r="H27" s="3596"/>
    </row>
    <row r="28" spans="2:9" ht="18.95" customHeight="1">
      <c r="B28" s="3594" t="s">
        <v>2570</v>
      </c>
      <c r="C28" s="3595"/>
      <c r="D28" s="102"/>
      <c r="E28" s="102"/>
      <c r="F28" s="102"/>
      <c r="G28" s="102"/>
      <c r="H28" s="3596"/>
    </row>
    <row r="29" spans="2:9" ht="15.75" thickBot="1">
      <c r="B29" s="3597" t="s">
        <v>8</v>
      </c>
      <c r="C29" s="3598"/>
      <c r="D29" s="3598"/>
      <c r="E29" s="3598"/>
      <c r="F29" s="3598"/>
      <c r="G29" s="3598"/>
      <c r="H29" s="3599"/>
    </row>
    <row r="32" spans="2:9" ht="13.5" thickBot="1">
      <c r="B32" s="3534">
        <v>40</v>
      </c>
      <c r="C32" s="3534">
        <v>12</v>
      </c>
      <c r="D32" s="3534">
        <v>12</v>
      </c>
      <c r="E32" s="3534">
        <v>12</v>
      </c>
      <c r="F32" s="3534">
        <v>20</v>
      </c>
      <c r="G32" s="3534">
        <v>12</v>
      </c>
      <c r="H32" s="3534">
        <v>12</v>
      </c>
      <c r="I32" s="3600" t="s">
        <v>475</v>
      </c>
    </row>
    <row r="33" spans="2:8" ht="18" customHeight="1">
      <c r="B33" s="3535" t="s">
        <v>2564</v>
      </c>
      <c r="C33" s="3536"/>
      <c r="D33" s="3536"/>
      <c r="E33" s="3536"/>
      <c r="F33" s="3536"/>
      <c r="G33" s="3536"/>
      <c r="H33" s="3537" t="s">
        <v>74</v>
      </c>
    </row>
    <row r="34" spans="2:8" ht="18" customHeight="1">
      <c r="B34" s="3538"/>
      <c r="C34" s="3539"/>
      <c r="D34" s="3539"/>
      <c r="E34" s="3539"/>
      <c r="F34" s="3539"/>
      <c r="G34" s="3539"/>
      <c r="H34" s="3540"/>
    </row>
    <row r="35" spans="2:8" ht="18" customHeight="1">
      <c r="B35" s="3541" t="s">
        <v>2565</v>
      </c>
      <c r="C35" s="3542"/>
      <c r="D35" s="3542"/>
      <c r="E35" s="3542"/>
      <c r="F35" s="3542"/>
      <c r="G35" s="3542"/>
      <c r="H35" s="3543"/>
    </row>
    <row r="36" spans="2:8" ht="18" customHeight="1">
      <c r="B36" s="3544"/>
      <c r="C36" s="3545"/>
      <c r="D36" s="3545"/>
      <c r="E36" s="3601" t="s">
        <v>2571</v>
      </c>
      <c r="F36" s="3602">
        <v>500</v>
      </c>
      <c r="G36" s="3603"/>
      <c r="H36" s="3549"/>
    </row>
    <row r="37" spans="2:8" ht="18" customHeight="1">
      <c r="B37" s="3550" t="s">
        <v>1614</v>
      </c>
      <c r="C37" s="3604" t="s">
        <v>2567</v>
      </c>
      <c r="D37" s="3552" t="s">
        <v>1759</v>
      </c>
      <c r="E37" s="3605" t="s">
        <v>21</v>
      </c>
      <c r="F37" s="3606" t="s">
        <v>2568</v>
      </c>
      <c r="G37" s="3607" t="s">
        <v>1618</v>
      </c>
      <c r="H37" s="3556" t="s">
        <v>1619</v>
      </c>
    </row>
    <row r="38" spans="2:8" ht="18" customHeight="1">
      <c r="B38" s="3557" t="s">
        <v>1620</v>
      </c>
      <c r="C38" s="3608">
        <v>3400</v>
      </c>
      <c r="D38" s="3559">
        <f>C38/C49*1000</f>
        <v>324.18001525553012</v>
      </c>
      <c r="E38" s="3560">
        <f>C38/C49</f>
        <v>0.32418001525553014</v>
      </c>
      <c r="F38" s="3609">
        <f>E38*F36</f>
        <v>162.09000762776506</v>
      </c>
      <c r="G38" s="3562"/>
      <c r="H38" s="3563">
        <f t="shared" ref="H38:H48" si="1">F38*G38</f>
        <v>0</v>
      </c>
    </row>
    <row r="39" spans="2:8" ht="18" customHeight="1">
      <c r="B39" s="3564" t="s">
        <v>1621</v>
      </c>
      <c r="C39" s="3610">
        <v>1600</v>
      </c>
      <c r="D39" s="3566">
        <f>C39/C49*1000</f>
        <v>152.55530129672007</v>
      </c>
      <c r="E39" s="3567">
        <f>C39/C49</f>
        <v>0.15255530129672007</v>
      </c>
      <c r="F39" s="3611">
        <f>E39*F36</f>
        <v>76.277650648360037</v>
      </c>
      <c r="G39" s="3569">
        <v>0</v>
      </c>
      <c r="H39" s="3570">
        <f t="shared" si="1"/>
        <v>0</v>
      </c>
    </row>
    <row r="40" spans="2:8" ht="18" customHeight="1">
      <c r="B40" s="3557" t="s">
        <v>1622</v>
      </c>
      <c r="C40" s="3608">
        <v>1600</v>
      </c>
      <c r="D40" s="3559">
        <f>C40/C49*1000</f>
        <v>152.55530129672007</v>
      </c>
      <c r="E40" s="3560">
        <f>C40/C49</f>
        <v>0.15255530129672007</v>
      </c>
      <c r="F40" s="3609">
        <f>E40*F36</f>
        <v>76.277650648360037</v>
      </c>
      <c r="G40" s="3562">
        <v>0</v>
      </c>
      <c r="H40" s="3563">
        <f t="shared" si="1"/>
        <v>0</v>
      </c>
    </row>
    <row r="41" spans="2:8" ht="18" customHeight="1">
      <c r="B41" s="3564" t="s">
        <v>1623</v>
      </c>
      <c r="C41" s="3610">
        <v>3000</v>
      </c>
      <c r="D41" s="3566">
        <f>C41/C49*1000</f>
        <v>286.04118993135012</v>
      </c>
      <c r="E41" s="3567">
        <f>C41/C49</f>
        <v>0.28604118993135014</v>
      </c>
      <c r="F41" s="3611">
        <f>E41*F36</f>
        <v>143.02059496567506</v>
      </c>
      <c r="G41" s="3569">
        <v>0</v>
      </c>
      <c r="H41" s="3570">
        <f t="shared" si="1"/>
        <v>0</v>
      </c>
    </row>
    <row r="42" spans="2:8" ht="18" customHeight="1">
      <c r="B42" s="3557" t="s">
        <v>579</v>
      </c>
      <c r="C42" s="3608">
        <v>600</v>
      </c>
      <c r="D42" s="3559">
        <f>C42/C49*1000</f>
        <v>57.208237986270028</v>
      </c>
      <c r="E42" s="3560">
        <f>C42/C49</f>
        <v>5.7208237986270026E-2</v>
      </c>
      <c r="F42" s="3609">
        <f>E42*F36</f>
        <v>28.604118993135014</v>
      </c>
      <c r="G42" s="3562">
        <v>0</v>
      </c>
      <c r="H42" s="3563">
        <f t="shared" si="1"/>
        <v>0</v>
      </c>
    </row>
    <row r="43" spans="2:8" ht="18" customHeight="1">
      <c r="B43" s="3564" t="s">
        <v>1624</v>
      </c>
      <c r="C43" s="3610">
        <v>165</v>
      </c>
      <c r="D43" s="3566">
        <f>C43/C49*1000</f>
        <v>15.732265446224257</v>
      </c>
      <c r="E43" s="3567">
        <f>C43/C49</f>
        <v>1.5732265446224258E-2</v>
      </c>
      <c r="F43" s="3611">
        <f>E43*F36</f>
        <v>7.8661327231121287</v>
      </c>
      <c r="G43" s="3569">
        <v>0</v>
      </c>
      <c r="H43" s="3570">
        <f t="shared" si="1"/>
        <v>0</v>
      </c>
    </row>
    <row r="44" spans="2:8" ht="18" customHeight="1">
      <c r="B44" s="3557" t="s">
        <v>1625</v>
      </c>
      <c r="C44" s="3608">
        <v>10</v>
      </c>
      <c r="D44" s="3559">
        <f>C44/C49*1000</f>
        <v>0.95347063310450031</v>
      </c>
      <c r="E44" s="3560">
        <f>C44/C49</f>
        <v>9.5347063310450035E-4</v>
      </c>
      <c r="F44" s="3609">
        <f>E44*F36</f>
        <v>0.47673531655225015</v>
      </c>
      <c r="G44" s="3562">
        <v>0</v>
      </c>
      <c r="H44" s="3563">
        <f t="shared" si="1"/>
        <v>0</v>
      </c>
    </row>
    <row r="45" spans="2:8" ht="18" customHeight="1">
      <c r="B45" s="3564" t="s">
        <v>1626</v>
      </c>
      <c r="C45" s="3610">
        <v>10</v>
      </c>
      <c r="D45" s="3566">
        <f>C45/C49*1000</f>
        <v>0.95347063310450031</v>
      </c>
      <c r="E45" s="3567">
        <f>C45/C49</f>
        <v>9.5347063310450035E-4</v>
      </c>
      <c r="F45" s="3611">
        <f>E45*F36</f>
        <v>0.47673531655225015</v>
      </c>
      <c r="G45" s="3569">
        <v>0</v>
      </c>
      <c r="H45" s="3570">
        <f t="shared" si="1"/>
        <v>0</v>
      </c>
    </row>
    <row r="46" spans="2:8" ht="18" customHeight="1">
      <c r="B46" s="3557" t="s">
        <v>1674</v>
      </c>
      <c r="C46" s="3608">
        <v>100</v>
      </c>
      <c r="D46" s="3559">
        <f>C46/C49*1000</f>
        <v>9.5347063310450046</v>
      </c>
      <c r="E46" s="3560">
        <f>C46/C49</f>
        <v>9.5347063310450043E-3</v>
      </c>
      <c r="F46" s="3609">
        <f>E46*F36</f>
        <v>4.7673531655225023</v>
      </c>
      <c r="G46" s="3562">
        <v>0</v>
      </c>
      <c r="H46" s="3563">
        <f t="shared" si="1"/>
        <v>0</v>
      </c>
    </row>
    <row r="47" spans="2:8" ht="18" customHeight="1">
      <c r="B47" s="3564" t="s">
        <v>1628</v>
      </c>
      <c r="C47" s="3610">
        <v>3</v>
      </c>
      <c r="D47" s="3566">
        <f>C47/C49*1000</f>
        <v>0.28604118993135014</v>
      </c>
      <c r="E47" s="3567">
        <f>C47/C49</f>
        <v>2.8604118993135012E-4</v>
      </c>
      <c r="F47" s="3611">
        <f>E47*F36</f>
        <v>0.14302059496567507</v>
      </c>
      <c r="G47" s="3569">
        <v>0</v>
      </c>
      <c r="H47" s="3570">
        <f t="shared" si="1"/>
        <v>0</v>
      </c>
    </row>
    <row r="48" spans="2:8" ht="18" customHeight="1" thickBot="1">
      <c r="B48" s="3572"/>
      <c r="C48" s="3608">
        <v>0</v>
      </c>
      <c r="D48" s="3574">
        <f>C48/C49*1000</f>
        <v>0</v>
      </c>
      <c r="E48" s="3575">
        <f>C48/C49</f>
        <v>0</v>
      </c>
      <c r="F48" s="3609">
        <f>E48*F36</f>
        <v>0</v>
      </c>
      <c r="G48" s="3577">
        <v>0</v>
      </c>
      <c r="H48" s="3578">
        <f t="shared" si="1"/>
        <v>0</v>
      </c>
    </row>
    <row r="49" spans="2:11" ht="18" customHeight="1" thickTop="1" thickBot="1">
      <c r="B49" s="3579" t="s">
        <v>22</v>
      </c>
      <c r="C49" s="3612">
        <f>SUM(C38:C48)</f>
        <v>10488</v>
      </c>
      <c r="D49" s="3581">
        <f>SUM(D38:D48)</f>
        <v>999.99999999999989</v>
      </c>
      <c r="E49" s="3582">
        <f>SUM(E38:E48)</f>
        <v>1.0000000000000002</v>
      </c>
      <c r="F49" s="3583">
        <f>SUM(F38:F48)/1000</f>
        <v>0.49999999999999994</v>
      </c>
      <c r="G49" s="3584">
        <f>H49/F49</f>
        <v>0</v>
      </c>
      <c r="H49" s="3585">
        <f>SUM(H38:H48)</f>
        <v>0</v>
      </c>
    </row>
    <row r="50" spans="2:11" ht="18" customHeight="1" thickTop="1" thickBot="1">
      <c r="B50" s="3586" t="s">
        <v>2569</v>
      </c>
      <c r="C50" s="3587" t="s">
        <v>1700</v>
      </c>
      <c r="D50" s="3588"/>
      <c r="E50" s="3588"/>
      <c r="F50" s="3588"/>
      <c r="G50" s="3588"/>
      <c r="H50" s="3589"/>
    </row>
    <row r="51" spans="2:11" ht="18" customHeight="1">
      <c r="B51" s="3590" t="s">
        <v>7</v>
      </c>
      <c r="C51" s="3591" t="str">
        <f ca="1">CELL("nomfichier")</f>
        <v>F:\Bureau\pour UPRT 5 decembre\[re-boudins-blancs.xlsx]CONTENU</v>
      </c>
      <c r="D51" s="3592"/>
      <c r="E51" s="3592"/>
      <c r="F51" s="3592"/>
      <c r="G51" s="3592"/>
      <c r="H51" s="3593"/>
    </row>
    <row r="52" spans="2:11" ht="18" customHeight="1">
      <c r="B52" s="3594" t="s">
        <v>2573</v>
      </c>
      <c r="C52" s="3595"/>
      <c r="D52" s="102"/>
      <c r="E52" s="102"/>
      <c r="F52" s="102"/>
      <c r="G52" s="102"/>
      <c r="H52" s="3596"/>
    </row>
    <row r="53" spans="2:11" ht="18" customHeight="1">
      <c r="B53" s="3594" t="s">
        <v>2570</v>
      </c>
      <c r="C53" s="3595"/>
      <c r="D53" s="102"/>
      <c r="E53" s="102"/>
      <c r="F53" s="102"/>
      <c r="G53" s="102"/>
      <c r="H53" s="3596"/>
    </row>
    <row r="54" spans="2:11" ht="18" customHeight="1" thickBot="1">
      <c r="B54" s="3597" t="s">
        <v>8</v>
      </c>
      <c r="C54" s="3598"/>
      <c r="D54" s="3598"/>
      <c r="E54" s="3598"/>
      <c r="F54" s="3598"/>
      <c r="G54" s="3598"/>
      <c r="H54" s="3599"/>
    </row>
    <row r="57" spans="2:11" ht="13.5" thickBot="1">
      <c r="B57" s="3534">
        <v>40</v>
      </c>
      <c r="C57" s="3534">
        <v>12</v>
      </c>
      <c r="D57" s="3534">
        <v>12</v>
      </c>
      <c r="E57" s="3534">
        <v>12</v>
      </c>
      <c r="F57" s="3534">
        <v>20</v>
      </c>
      <c r="G57" s="3534">
        <v>12</v>
      </c>
      <c r="H57" s="3534">
        <v>12</v>
      </c>
      <c r="I57" s="3600" t="s">
        <v>475</v>
      </c>
    </row>
    <row r="58" spans="2:11" ht="18.75" customHeight="1">
      <c r="B58" s="3535" t="s">
        <v>2564</v>
      </c>
      <c r="C58" s="3536"/>
      <c r="D58" s="3536"/>
      <c r="E58" s="3536"/>
      <c r="F58" s="3536"/>
      <c r="G58" s="3536"/>
      <c r="H58" s="3537" t="s">
        <v>74</v>
      </c>
      <c r="J58" s="3613" t="s">
        <v>755</v>
      </c>
      <c r="K58" s="3614">
        <f>ROW()</f>
        <v>58</v>
      </c>
    </row>
    <row r="59" spans="2:11" ht="18.75" customHeight="1">
      <c r="B59" s="3538"/>
      <c r="C59" s="3539"/>
      <c r="D59" s="3539"/>
      <c r="E59" s="3539"/>
      <c r="F59" s="3539"/>
      <c r="G59" s="3539"/>
      <c r="H59" s="3540"/>
      <c r="J59" s="3613" t="s">
        <v>755</v>
      </c>
      <c r="K59" s="3614">
        <f>ROW()</f>
        <v>59</v>
      </c>
    </row>
    <row r="60" spans="2:11" ht="18.75">
      <c r="B60" s="3541" t="s">
        <v>2565</v>
      </c>
      <c r="C60" s="3542"/>
      <c r="D60" s="3542"/>
      <c r="E60" s="3542"/>
      <c r="F60" s="3542"/>
      <c r="G60" s="3542"/>
      <c r="H60" s="3543"/>
      <c r="J60" s="3613" t="s">
        <v>755</v>
      </c>
      <c r="K60" s="3614">
        <f>ROW()</f>
        <v>60</v>
      </c>
    </row>
    <row r="61" spans="2:11" ht="18.75">
      <c r="B61" s="3544"/>
      <c r="C61" s="3545"/>
      <c r="D61" s="3545"/>
      <c r="E61" s="3546" t="s">
        <v>2566</v>
      </c>
      <c r="F61" s="3547">
        <v>20</v>
      </c>
      <c r="G61" s="3548"/>
      <c r="H61" s="3549"/>
      <c r="J61" s="3613" t="s">
        <v>755</v>
      </c>
      <c r="K61" s="3614">
        <f>ROW()</f>
        <v>61</v>
      </c>
    </row>
    <row r="62" spans="2:11" ht="18.75">
      <c r="B62" s="3550" t="s">
        <v>1614</v>
      </c>
      <c r="C62" s="3551" t="s">
        <v>2567</v>
      </c>
      <c r="D62" s="3552" t="s">
        <v>1759</v>
      </c>
      <c r="E62" s="3553" t="s">
        <v>21</v>
      </c>
      <c r="F62" s="3554" t="s">
        <v>2568</v>
      </c>
      <c r="G62" s="3555" t="s">
        <v>1618</v>
      </c>
      <c r="H62" s="3556" t="s">
        <v>1619</v>
      </c>
      <c r="J62" s="3613" t="s">
        <v>755</v>
      </c>
      <c r="K62" s="3614">
        <f>ROW()</f>
        <v>62</v>
      </c>
    </row>
    <row r="63" spans="2:11" ht="18.75">
      <c r="B63" s="3615" t="s">
        <v>1620</v>
      </c>
      <c r="C63" s="3558">
        <v>34</v>
      </c>
      <c r="D63" s="3559">
        <f>C63/C93*1000</f>
        <v>680</v>
      </c>
      <c r="E63" s="3560">
        <f>C63/C93</f>
        <v>0.68</v>
      </c>
      <c r="F63" s="3561">
        <f>E63*F61</f>
        <v>13.600000000000001</v>
      </c>
      <c r="G63" s="3562"/>
      <c r="H63" s="3563">
        <f t="shared" ref="H63:H92" si="2">F63*G63</f>
        <v>0</v>
      </c>
      <c r="I63" s="755">
        <v>1</v>
      </c>
      <c r="J63" s="3613" t="s">
        <v>755</v>
      </c>
      <c r="K63" s="3614">
        <f>ROW()</f>
        <v>63</v>
      </c>
    </row>
    <row r="64" spans="2:11" ht="18.75">
      <c r="B64" s="3616" t="s">
        <v>1623</v>
      </c>
      <c r="C64" s="3565">
        <v>16</v>
      </c>
      <c r="D64" s="3566">
        <f>C64/C93*1000</f>
        <v>320</v>
      </c>
      <c r="E64" s="3567">
        <f>C64/C93</f>
        <v>0.32</v>
      </c>
      <c r="F64" s="3568">
        <f>E64*F61</f>
        <v>6.4</v>
      </c>
      <c r="G64" s="3569">
        <v>0</v>
      </c>
      <c r="H64" s="3570">
        <f t="shared" si="2"/>
        <v>0</v>
      </c>
      <c r="J64" s="3617" t="s">
        <v>758</v>
      </c>
      <c r="K64" s="3618">
        <f>ROW()</f>
        <v>64</v>
      </c>
    </row>
    <row r="65" spans="2:11" ht="18.75">
      <c r="B65" s="3615"/>
      <c r="C65" s="3558"/>
      <c r="D65" s="3559">
        <f>C65/C93*1000</f>
        <v>0</v>
      </c>
      <c r="E65" s="3560">
        <f>C65/C93</f>
        <v>0</v>
      </c>
      <c r="F65" s="3571">
        <f>E65*F61</f>
        <v>0</v>
      </c>
      <c r="G65" s="3562">
        <v>0</v>
      </c>
      <c r="H65" s="3563">
        <f t="shared" si="2"/>
        <v>0</v>
      </c>
      <c r="J65" s="3619" t="s">
        <v>758</v>
      </c>
      <c r="K65" s="3620">
        <f>ROW()</f>
        <v>65</v>
      </c>
    </row>
    <row r="66" spans="2:11" ht="18.75">
      <c r="B66" s="3616"/>
      <c r="C66" s="3565"/>
      <c r="D66" s="3566">
        <f>C66/C93*1000</f>
        <v>0</v>
      </c>
      <c r="E66" s="3567">
        <f>C66/C93</f>
        <v>0</v>
      </c>
      <c r="F66" s="3568">
        <f>E66*F61</f>
        <v>0</v>
      </c>
      <c r="G66" s="3569">
        <v>0</v>
      </c>
      <c r="H66" s="3570">
        <f t="shared" si="2"/>
        <v>0</v>
      </c>
      <c r="J66" s="3617" t="s">
        <v>758</v>
      </c>
      <c r="K66" s="3618">
        <f>ROW()</f>
        <v>66</v>
      </c>
    </row>
    <row r="67" spans="2:11" ht="18.75">
      <c r="B67" s="3615"/>
      <c r="C67" s="3558"/>
      <c r="D67" s="3559">
        <f>C67/C93*1000</f>
        <v>0</v>
      </c>
      <c r="E67" s="3560">
        <f>C67/C93</f>
        <v>0</v>
      </c>
      <c r="F67" s="3571">
        <f>E67*F61</f>
        <v>0</v>
      </c>
      <c r="G67" s="3562">
        <v>0</v>
      </c>
      <c r="H67" s="3563">
        <f t="shared" si="2"/>
        <v>0</v>
      </c>
      <c r="J67" s="3619" t="s">
        <v>758</v>
      </c>
      <c r="K67" s="3620">
        <f>ROW()</f>
        <v>67</v>
      </c>
    </row>
    <row r="68" spans="2:11" ht="18.75">
      <c r="B68" s="3616"/>
      <c r="C68" s="3565"/>
      <c r="D68" s="3566">
        <f>C68/C93*1000</f>
        <v>0</v>
      </c>
      <c r="E68" s="3567">
        <f>C68/C93</f>
        <v>0</v>
      </c>
      <c r="F68" s="3568">
        <f>E68*F61</f>
        <v>0</v>
      </c>
      <c r="G68" s="3569">
        <v>0</v>
      </c>
      <c r="H68" s="3570">
        <f t="shared" si="2"/>
        <v>0</v>
      </c>
      <c r="J68" s="3617" t="s">
        <v>758</v>
      </c>
      <c r="K68" s="3618">
        <f>ROW()</f>
        <v>68</v>
      </c>
    </row>
    <row r="69" spans="2:11" ht="18.75">
      <c r="B69" s="3615"/>
      <c r="C69" s="3558"/>
      <c r="D69" s="3559">
        <f>C69/C93*1000</f>
        <v>0</v>
      </c>
      <c r="E69" s="3560">
        <f>C69/C93</f>
        <v>0</v>
      </c>
      <c r="F69" s="3571">
        <f>E69*F61</f>
        <v>0</v>
      </c>
      <c r="G69" s="3562">
        <v>0</v>
      </c>
      <c r="H69" s="3563">
        <f t="shared" si="2"/>
        <v>0</v>
      </c>
      <c r="J69" s="3619" t="s">
        <v>758</v>
      </c>
      <c r="K69" s="3620">
        <f>ROW()</f>
        <v>69</v>
      </c>
    </row>
    <row r="70" spans="2:11" ht="18.75">
      <c r="B70" s="3616"/>
      <c r="C70" s="3565"/>
      <c r="D70" s="3566">
        <f>C70/C93*1000</f>
        <v>0</v>
      </c>
      <c r="E70" s="3567">
        <f>C70/C93</f>
        <v>0</v>
      </c>
      <c r="F70" s="3568">
        <f>E70*F61</f>
        <v>0</v>
      </c>
      <c r="G70" s="3569">
        <v>0</v>
      </c>
      <c r="H70" s="3570">
        <f t="shared" si="2"/>
        <v>0</v>
      </c>
      <c r="J70" s="3617" t="s">
        <v>758</v>
      </c>
      <c r="K70" s="3618">
        <f>ROW()</f>
        <v>70</v>
      </c>
    </row>
    <row r="71" spans="2:11" ht="18.75">
      <c r="B71" s="3615"/>
      <c r="C71" s="3558"/>
      <c r="D71" s="3559">
        <f>C71/C93*1000</f>
        <v>0</v>
      </c>
      <c r="E71" s="3560">
        <f>C71/C93</f>
        <v>0</v>
      </c>
      <c r="F71" s="3571">
        <f>E71*F61</f>
        <v>0</v>
      </c>
      <c r="G71" s="3562">
        <v>0</v>
      </c>
      <c r="H71" s="3563">
        <f t="shared" si="2"/>
        <v>0</v>
      </c>
      <c r="J71" s="3619" t="s">
        <v>758</v>
      </c>
      <c r="K71" s="3620">
        <f>ROW()</f>
        <v>71</v>
      </c>
    </row>
    <row r="72" spans="2:11" ht="18.75">
      <c r="B72" s="3616"/>
      <c r="C72" s="3565"/>
      <c r="D72" s="3566">
        <f>C72/C93*1000</f>
        <v>0</v>
      </c>
      <c r="E72" s="3567">
        <f>C72/C93</f>
        <v>0</v>
      </c>
      <c r="F72" s="3568">
        <f>E72*F61</f>
        <v>0</v>
      </c>
      <c r="G72" s="3569">
        <v>0</v>
      </c>
      <c r="H72" s="3570">
        <f t="shared" si="2"/>
        <v>0</v>
      </c>
      <c r="J72" s="3617" t="s">
        <v>758</v>
      </c>
      <c r="K72" s="3618">
        <f>ROW()</f>
        <v>72</v>
      </c>
    </row>
    <row r="73" spans="2:11" ht="18.75">
      <c r="B73" s="3615"/>
      <c r="C73" s="3558"/>
      <c r="D73" s="3559">
        <f>C73/C93*1000</f>
        <v>0</v>
      </c>
      <c r="E73" s="3560">
        <f>C73/C93</f>
        <v>0</v>
      </c>
      <c r="F73" s="3571">
        <f>E73*F61</f>
        <v>0</v>
      </c>
      <c r="G73" s="3562">
        <v>0</v>
      </c>
      <c r="H73" s="3563">
        <f t="shared" si="2"/>
        <v>0</v>
      </c>
      <c r="J73" s="3619" t="s">
        <v>758</v>
      </c>
      <c r="K73" s="3620">
        <f>ROW()</f>
        <v>73</v>
      </c>
    </row>
    <row r="74" spans="2:11" ht="18.75">
      <c r="B74" s="3616"/>
      <c r="C74" s="3565"/>
      <c r="D74" s="3566">
        <f>C74/C93*1000</f>
        <v>0</v>
      </c>
      <c r="E74" s="3567">
        <f>C74/C93</f>
        <v>0</v>
      </c>
      <c r="F74" s="3568">
        <f>E74*F63</f>
        <v>0</v>
      </c>
      <c r="G74" s="3569">
        <v>0</v>
      </c>
      <c r="H74" s="3570">
        <f t="shared" si="2"/>
        <v>0</v>
      </c>
      <c r="J74" s="3617" t="s">
        <v>758</v>
      </c>
      <c r="K74" s="3618">
        <f>ROW()</f>
        <v>74</v>
      </c>
    </row>
    <row r="75" spans="2:11" ht="18.75">
      <c r="B75" s="3615"/>
      <c r="C75" s="3558"/>
      <c r="D75" s="3559">
        <f>C75/C93*1000</f>
        <v>0</v>
      </c>
      <c r="E75" s="3560">
        <f>C75/C93</f>
        <v>0</v>
      </c>
      <c r="F75" s="3571">
        <f>E75*F63</f>
        <v>0</v>
      </c>
      <c r="G75" s="3562">
        <v>0</v>
      </c>
      <c r="H75" s="3563">
        <f t="shared" si="2"/>
        <v>0</v>
      </c>
      <c r="J75" s="3619" t="s">
        <v>758</v>
      </c>
      <c r="K75" s="3620">
        <f>ROW()</f>
        <v>75</v>
      </c>
    </row>
    <row r="76" spans="2:11" ht="18.75">
      <c r="B76" s="3616"/>
      <c r="C76" s="3565"/>
      <c r="D76" s="3566">
        <f>C76/C93*1000</f>
        <v>0</v>
      </c>
      <c r="E76" s="3567">
        <f>C76/C93</f>
        <v>0</v>
      </c>
      <c r="F76" s="3568">
        <f>E76*F65</f>
        <v>0</v>
      </c>
      <c r="G76" s="3569">
        <v>0</v>
      </c>
      <c r="H76" s="3570">
        <f t="shared" si="2"/>
        <v>0</v>
      </c>
      <c r="J76" s="3617" t="s">
        <v>758</v>
      </c>
      <c r="K76" s="3618">
        <f>ROW()</f>
        <v>76</v>
      </c>
    </row>
    <row r="77" spans="2:11" ht="18.75">
      <c r="B77" s="3615"/>
      <c r="C77" s="3558"/>
      <c r="D77" s="3559">
        <f>C77/C93*1000</f>
        <v>0</v>
      </c>
      <c r="E77" s="3560">
        <f>C77/C93</f>
        <v>0</v>
      </c>
      <c r="F77" s="3571">
        <f>E77*F65</f>
        <v>0</v>
      </c>
      <c r="G77" s="3562">
        <v>0</v>
      </c>
      <c r="H77" s="3563">
        <f t="shared" si="2"/>
        <v>0</v>
      </c>
      <c r="J77" s="3619" t="s">
        <v>758</v>
      </c>
      <c r="K77" s="3620">
        <f>ROW()</f>
        <v>77</v>
      </c>
    </row>
    <row r="78" spans="2:11" ht="18.75">
      <c r="B78" s="3616"/>
      <c r="C78" s="3565"/>
      <c r="D78" s="3566">
        <f>C78/C93*1000</f>
        <v>0</v>
      </c>
      <c r="E78" s="3567">
        <f>C78/C93</f>
        <v>0</v>
      </c>
      <c r="F78" s="3568">
        <f>E78*F67</f>
        <v>0</v>
      </c>
      <c r="G78" s="3569">
        <v>0</v>
      </c>
      <c r="H78" s="3570">
        <f t="shared" si="2"/>
        <v>0</v>
      </c>
      <c r="J78" s="3617" t="s">
        <v>758</v>
      </c>
      <c r="K78" s="3618">
        <f>ROW()</f>
        <v>78</v>
      </c>
    </row>
    <row r="79" spans="2:11" ht="18.75">
      <c r="B79" s="3615"/>
      <c r="C79" s="3558"/>
      <c r="D79" s="3559">
        <f>C79/C93*1000</f>
        <v>0</v>
      </c>
      <c r="E79" s="3560">
        <f>C79/C93</f>
        <v>0</v>
      </c>
      <c r="F79" s="3571">
        <f>E79*F67</f>
        <v>0</v>
      </c>
      <c r="G79" s="3562">
        <v>0</v>
      </c>
      <c r="H79" s="3563">
        <f t="shared" si="2"/>
        <v>0</v>
      </c>
      <c r="J79" s="3619" t="s">
        <v>758</v>
      </c>
      <c r="K79" s="3620">
        <f>ROW()</f>
        <v>79</v>
      </c>
    </row>
    <row r="80" spans="2:11" ht="18.75">
      <c r="B80" s="3616"/>
      <c r="C80" s="3565"/>
      <c r="D80" s="3566">
        <f>C80/C93*1000</f>
        <v>0</v>
      </c>
      <c r="E80" s="3567">
        <f>C80/C93</f>
        <v>0</v>
      </c>
      <c r="F80" s="3568">
        <f>E80*F69</f>
        <v>0</v>
      </c>
      <c r="G80" s="3569">
        <v>0</v>
      </c>
      <c r="H80" s="3570">
        <f t="shared" si="2"/>
        <v>0</v>
      </c>
      <c r="J80" s="3617" t="s">
        <v>758</v>
      </c>
      <c r="K80" s="3618">
        <f>ROW()</f>
        <v>80</v>
      </c>
    </row>
    <row r="81" spans="2:11" ht="18.75">
      <c r="B81" s="3615"/>
      <c r="C81" s="3558"/>
      <c r="D81" s="3559">
        <f>C81/C93*1000</f>
        <v>0</v>
      </c>
      <c r="E81" s="3560">
        <f>C81/C93</f>
        <v>0</v>
      </c>
      <c r="F81" s="3571">
        <f>E81*F69</f>
        <v>0</v>
      </c>
      <c r="G81" s="3562">
        <v>0</v>
      </c>
      <c r="H81" s="3563">
        <f t="shared" si="2"/>
        <v>0</v>
      </c>
      <c r="J81" s="3619" t="s">
        <v>758</v>
      </c>
      <c r="K81" s="3620">
        <f>ROW()</f>
        <v>81</v>
      </c>
    </row>
    <row r="82" spans="2:11" ht="18.75">
      <c r="B82" s="3616"/>
      <c r="C82" s="3565"/>
      <c r="D82" s="3566">
        <f>C82/C93*1000</f>
        <v>0</v>
      </c>
      <c r="E82" s="3567">
        <f>C82/C93</f>
        <v>0</v>
      </c>
      <c r="F82" s="3568">
        <f>E82*F71</f>
        <v>0</v>
      </c>
      <c r="G82" s="3569">
        <v>0</v>
      </c>
      <c r="H82" s="3570">
        <f t="shared" si="2"/>
        <v>0</v>
      </c>
      <c r="J82" s="3617" t="s">
        <v>758</v>
      </c>
      <c r="K82" s="3618">
        <f>ROW()</f>
        <v>82</v>
      </c>
    </row>
    <row r="83" spans="2:11" ht="18.75">
      <c r="B83" s="3615"/>
      <c r="C83" s="3558"/>
      <c r="D83" s="3559">
        <f>C83/C93*1000</f>
        <v>0</v>
      </c>
      <c r="E83" s="3560">
        <f>C83/C93</f>
        <v>0</v>
      </c>
      <c r="F83" s="3571">
        <f>E83*F71</f>
        <v>0</v>
      </c>
      <c r="G83" s="3562">
        <v>0</v>
      </c>
      <c r="H83" s="3563">
        <f t="shared" si="2"/>
        <v>0</v>
      </c>
      <c r="J83" s="3619" t="s">
        <v>758</v>
      </c>
      <c r="K83" s="3620">
        <f>ROW()</f>
        <v>83</v>
      </c>
    </row>
    <row r="84" spans="2:11" ht="18.75">
      <c r="B84" s="3616"/>
      <c r="C84" s="3565"/>
      <c r="D84" s="3566">
        <f>C84/C93*1000</f>
        <v>0</v>
      </c>
      <c r="E84" s="3567">
        <f>C84/C93</f>
        <v>0</v>
      </c>
      <c r="F84" s="3568">
        <f>E84*F73</f>
        <v>0</v>
      </c>
      <c r="G84" s="3569">
        <v>0</v>
      </c>
      <c r="H84" s="3570">
        <f t="shared" si="2"/>
        <v>0</v>
      </c>
      <c r="J84" s="3617" t="s">
        <v>758</v>
      </c>
      <c r="K84" s="3618">
        <f>ROW()</f>
        <v>84</v>
      </c>
    </row>
    <row r="85" spans="2:11" ht="18.75">
      <c r="B85" s="3615"/>
      <c r="C85" s="3558"/>
      <c r="D85" s="3559">
        <f>C85/C93*1000</f>
        <v>0</v>
      </c>
      <c r="E85" s="3560">
        <f>C85/C93</f>
        <v>0</v>
      </c>
      <c r="F85" s="3571">
        <f>E85*F73</f>
        <v>0</v>
      </c>
      <c r="G85" s="3562">
        <v>0</v>
      </c>
      <c r="H85" s="3563">
        <f t="shared" si="2"/>
        <v>0</v>
      </c>
      <c r="J85" s="3619" t="s">
        <v>758</v>
      </c>
      <c r="K85" s="3620">
        <f>ROW()</f>
        <v>85</v>
      </c>
    </row>
    <row r="86" spans="2:11" ht="18.75">
      <c r="B86" s="3616"/>
      <c r="C86" s="3565"/>
      <c r="D86" s="3566">
        <f>C86/C93*1000</f>
        <v>0</v>
      </c>
      <c r="E86" s="3567">
        <f>C86/C93</f>
        <v>0</v>
      </c>
      <c r="F86" s="3568">
        <f>E86*F75</f>
        <v>0</v>
      </c>
      <c r="G86" s="3569">
        <v>0</v>
      </c>
      <c r="H86" s="3570">
        <f t="shared" si="2"/>
        <v>0</v>
      </c>
      <c r="J86" s="3617" t="s">
        <v>758</v>
      </c>
      <c r="K86" s="3618">
        <f>ROW()</f>
        <v>86</v>
      </c>
    </row>
    <row r="87" spans="2:11" ht="18.75">
      <c r="B87" s="3615"/>
      <c r="C87" s="3558"/>
      <c r="D87" s="3559">
        <f>C87/C93*1000</f>
        <v>0</v>
      </c>
      <c r="E87" s="3560">
        <f>C87/C93</f>
        <v>0</v>
      </c>
      <c r="F87" s="3571">
        <f>E87*F75</f>
        <v>0</v>
      </c>
      <c r="G87" s="3562">
        <v>0</v>
      </c>
      <c r="H87" s="3563">
        <f t="shared" si="2"/>
        <v>0</v>
      </c>
      <c r="J87" s="3619" t="s">
        <v>758</v>
      </c>
      <c r="K87" s="3620">
        <f>ROW()</f>
        <v>87</v>
      </c>
    </row>
    <row r="88" spans="2:11" ht="18.75">
      <c r="B88" s="3616"/>
      <c r="C88" s="3565"/>
      <c r="D88" s="3566">
        <f>C88/C93*1000</f>
        <v>0</v>
      </c>
      <c r="E88" s="3567">
        <f>C88/C93</f>
        <v>0</v>
      </c>
      <c r="F88" s="3568">
        <f>E88*F77</f>
        <v>0</v>
      </c>
      <c r="G88" s="3569">
        <v>0</v>
      </c>
      <c r="H88" s="3570">
        <f t="shared" si="2"/>
        <v>0</v>
      </c>
      <c r="J88" s="3617" t="s">
        <v>758</v>
      </c>
      <c r="K88" s="3618">
        <f>ROW()</f>
        <v>88</v>
      </c>
    </row>
    <row r="89" spans="2:11" ht="18.75">
      <c r="B89" s="3615"/>
      <c r="C89" s="3558"/>
      <c r="D89" s="3559">
        <f>C89/C93*1000</f>
        <v>0</v>
      </c>
      <c r="E89" s="3560">
        <f>C89/C93</f>
        <v>0</v>
      </c>
      <c r="F89" s="3571">
        <f>E89*F77</f>
        <v>0</v>
      </c>
      <c r="G89" s="3562">
        <v>0</v>
      </c>
      <c r="H89" s="3563">
        <f t="shared" si="2"/>
        <v>0</v>
      </c>
      <c r="J89" s="3619" t="s">
        <v>758</v>
      </c>
      <c r="K89" s="3620">
        <f>ROW()</f>
        <v>89</v>
      </c>
    </row>
    <row r="90" spans="2:11" ht="18.75">
      <c r="B90" s="3616"/>
      <c r="C90" s="3565"/>
      <c r="D90" s="3566">
        <f>C90/C93*1000</f>
        <v>0</v>
      </c>
      <c r="E90" s="3567">
        <f>C90/C93</f>
        <v>0</v>
      </c>
      <c r="F90" s="3568">
        <f>E90*F79</f>
        <v>0</v>
      </c>
      <c r="G90" s="3569">
        <v>0</v>
      </c>
      <c r="H90" s="3570">
        <f t="shared" si="2"/>
        <v>0</v>
      </c>
      <c r="J90" s="3617" t="s">
        <v>758</v>
      </c>
      <c r="K90" s="3618">
        <f>ROW()</f>
        <v>90</v>
      </c>
    </row>
    <row r="91" spans="2:11" ht="18.75">
      <c r="B91" s="3615"/>
      <c r="C91" s="3558"/>
      <c r="D91" s="3559">
        <f>C91/C93*1000</f>
        <v>0</v>
      </c>
      <c r="E91" s="3560">
        <f>C91/C93</f>
        <v>0</v>
      </c>
      <c r="F91" s="3571">
        <f>E91*F79</f>
        <v>0</v>
      </c>
      <c r="G91" s="3562">
        <v>0</v>
      </c>
      <c r="H91" s="3563">
        <f t="shared" si="2"/>
        <v>0</v>
      </c>
      <c r="J91" s="3619" t="s">
        <v>758</v>
      </c>
      <c r="K91" s="3620">
        <f>ROW()</f>
        <v>91</v>
      </c>
    </row>
    <row r="92" spans="2:11" ht="19.5" thickBot="1">
      <c r="B92" s="3616"/>
      <c r="C92" s="3565"/>
      <c r="D92" s="3566">
        <f>C92/C93*1000</f>
        <v>0</v>
      </c>
      <c r="E92" s="3567">
        <f>C92/C93</f>
        <v>0</v>
      </c>
      <c r="F92" s="3568">
        <f>E92*F81</f>
        <v>0</v>
      </c>
      <c r="G92" s="3569">
        <v>0</v>
      </c>
      <c r="H92" s="3570">
        <f t="shared" si="2"/>
        <v>0</v>
      </c>
      <c r="J92" s="3613" t="s">
        <v>755</v>
      </c>
      <c r="K92" s="3614">
        <f>ROW()</f>
        <v>92</v>
      </c>
    </row>
    <row r="93" spans="2:11" ht="20.25" thickTop="1" thickBot="1">
      <c r="B93" s="3579" t="s">
        <v>22</v>
      </c>
      <c r="C93" s="3580">
        <f>SUM(C63:C92)</f>
        <v>50</v>
      </c>
      <c r="D93" s="3581">
        <f>SUM(D63:D92)</f>
        <v>1000</v>
      </c>
      <c r="E93" s="3582">
        <f>SUM(E63:E92)</f>
        <v>1</v>
      </c>
      <c r="F93" s="3583">
        <f>SUM(F63:F92)</f>
        <v>20</v>
      </c>
      <c r="G93" s="3584">
        <f>SUM(G63:G92)</f>
        <v>0</v>
      </c>
      <c r="H93" s="3585">
        <f>SUM(H63:H92)</f>
        <v>0</v>
      </c>
      <c r="J93" s="3613" t="s">
        <v>755</v>
      </c>
      <c r="K93" s="3614">
        <f>ROW()</f>
        <v>93</v>
      </c>
    </row>
    <row r="94" spans="2:11" ht="20.25" thickTop="1" thickBot="1">
      <c r="B94" s="3586" t="s">
        <v>2569</v>
      </c>
      <c r="C94" s="3587"/>
      <c r="D94" s="3588"/>
      <c r="E94" s="3588"/>
      <c r="F94" s="3588"/>
      <c r="G94" s="3588"/>
      <c r="H94" s="3589"/>
      <c r="J94" s="3613" t="s">
        <v>755</v>
      </c>
      <c r="K94" s="3614">
        <f>ROW()</f>
        <v>94</v>
      </c>
    </row>
    <row r="95" spans="2:11" ht="18.75">
      <c r="B95" s="3590" t="s">
        <v>7</v>
      </c>
      <c r="C95" s="3591" t="str">
        <f ca="1">CELL("nomfichier")</f>
        <v>F:\Bureau\pour UPRT 5 decembre\[re-boudins-blancs.xlsx]CONTENU</v>
      </c>
      <c r="D95" s="3592"/>
      <c r="E95" s="3592"/>
      <c r="F95" s="3592"/>
      <c r="G95" s="3592"/>
      <c r="H95" s="3593"/>
      <c r="J95" s="3613" t="s">
        <v>755</v>
      </c>
      <c r="K95" s="3614">
        <f>ROW()</f>
        <v>95</v>
      </c>
    </row>
    <row r="96" spans="2:11" ht="18.75">
      <c r="B96" s="3594" t="s">
        <v>2573</v>
      </c>
      <c r="C96" s="3595"/>
      <c r="D96" s="102"/>
      <c r="E96" s="102"/>
      <c r="F96" s="102"/>
      <c r="G96" s="102"/>
      <c r="H96" s="3596"/>
      <c r="J96" s="3613" t="s">
        <v>755</v>
      </c>
      <c r="K96" s="3614">
        <f>ROW()</f>
        <v>96</v>
      </c>
    </row>
    <row r="97" spans="2:11" ht="18.75">
      <c r="B97" s="3594" t="s">
        <v>2570</v>
      </c>
      <c r="C97" s="3595"/>
      <c r="D97" s="102"/>
      <c r="E97" s="102"/>
      <c r="F97" s="102"/>
      <c r="G97" s="102"/>
      <c r="H97" s="3596"/>
      <c r="J97" s="3613" t="s">
        <v>755</v>
      </c>
      <c r="K97" s="3614">
        <f>ROW()</f>
        <v>97</v>
      </c>
    </row>
    <row r="98" spans="2:11" ht="19.5" thickBot="1">
      <c r="B98" s="3597" t="s">
        <v>8</v>
      </c>
      <c r="C98" s="3598"/>
      <c r="D98" s="3598"/>
      <c r="E98" s="3598"/>
      <c r="F98" s="3598"/>
      <c r="G98" s="3598"/>
      <c r="H98" s="3599"/>
      <c r="J98" s="3613" t="s">
        <v>755</v>
      </c>
      <c r="K98" s="3614">
        <f>ROW()</f>
        <v>98</v>
      </c>
    </row>
  </sheetData>
  <mergeCells count="13">
    <mergeCell ref="B35:H35"/>
    <mergeCell ref="C50:H50"/>
    <mergeCell ref="B58:G59"/>
    <mergeCell ref="H58:H59"/>
    <mergeCell ref="B60:H60"/>
    <mergeCell ref="C94:H94"/>
    <mergeCell ref="B2:H4"/>
    <mergeCell ref="B8:G9"/>
    <mergeCell ref="H8:H9"/>
    <mergeCell ref="B10:H10"/>
    <mergeCell ref="C25:H25"/>
    <mergeCell ref="B33:G34"/>
    <mergeCell ref="H33:H34"/>
  </mergeCells>
  <hyperlinks>
    <hyperlink ref="C50" r:id="rId1"/>
    <hyperlink ref="C25"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Q74"/>
  <sheetViews>
    <sheetView showGridLines="0" topLeftCell="A28" zoomScaleNormal="100" workbookViewId="0">
      <selection activeCell="T10" sqref="T10"/>
    </sheetView>
  </sheetViews>
  <sheetFormatPr baseColWidth="10" defaultRowHeight="16.149999999999999" customHeight="1"/>
  <cols>
    <col min="1" max="1" width="1.7109375" style="1156" customWidth="1"/>
    <col min="2" max="16384" width="11.42578125" style="1156"/>
  </cols>
  <sheetData>
    <row r="1" spans="1:17" customFormat="1" ht="83.25" customHeight="1">
      <c r="B1" s="2475" t="s">
        <v>1681</v>
      </c>
      <c r="C1" s="2476"/>
      <c r="D1" s="2476"/>
      <c r="E1" s="2476"/>
      <c r="F1" s="2476"/>
      <c r="G1" s="2476"/>
      <c r="H1" s="2476"/>
      <c r="I1" s="2476"/>
      <c r="J1" s="2476"/>
      <c r="K1" s="2476"/>
      <c r="L1" s="2476"/>
      <c r="M1" s="2476"/>
      <c r="N1" s="2476"/>
      <c r="O1" s="2476"/>
      <c r="P1" s="2476"/>
      <c r="Q1" s="2476"/>
    </row>
    <row r="2" spans="1:17" ht="20.100000000000001" customHeight="1">
      <c r="A2" s="1273"/>
      <c r="B2" s="1273"/>
      <c r="C2" s="1273"/>
      <c r="D2" s="1273"/>
      <c r="E2" s="1273"/>
      <c r="F2" s="1273"/>
      <c r="G2" s="1273"/>
      <c r="H2" s="1273"/>
      <c r="I2" s="1273"/>
      <c r="J2" s="1273"/>
      <c r="K2" s="1273"/>
      <c r="L2" s="1273"/>
    </row>
    <row r="3" spans="1:17" ht="24.95" customHeight="1">
      <c r="A3" s="1273"/>
      <c r="B3" s="1272" t="s">
        <v>1681</v>
      </c>
      <c r="C3" s="1273"/>
      <c r="D3" s="1273"/>
      <c r="E3" s="1273"/>
      <c r="F3" s="1273"/>
      <c r="G3" s="1273"/>
      <c r="H3" s="1273"/>
      <c r="I3" s="1273"/>
      <c r="J3" s="1273"/>
      <c r="K3" s="1273"/>
      <c r="L3" s="1273"/>
    </row>
    <row r="4" spans="1:17" ht="24.95" customHeight="1">
      <c r="A4" s="1273"/>
      <c r="B4" s="1273" t="s">
        <v>1682</v>
      </c>
      <c r="C4" s="1273"/>
      <c r="D4" s="1273"/>
      <c r="E4" s="1273"/>
      <c r="F4" s="1273"/>
      <c r="G4" s="1273"/>
      <c r="H4" s="1273"/>
      <c r="I4" s="1273"/>
      <c r="J4" s="1273"/>
      <c r="K4" s="1273"/>
      <c r="L4" s="1273"/>
    </row>
    <row r="5" spans="1:17" ht="24.95" customHeight="1">
      <c r="A5" s="1273"/>
      <c r="B5" s="1273" t="s">
        <v>1683</v>
      </c>
      <c r="C5" s="1273"/>
      <c r="D5" s="1273"/>
      <c r="E5" s="1273"/>
      <c r="F5" s="1273"/>
      <c r="G5" s="1273"/>
      <c r="H5" s="1273"/>
      <c r="I5" s="1273"/>
      <c r="J5" s="1273"/>
      <c r="K5" s="1273"/>
      <c r="L5" s="1273"/>
    </row>
    <row r="6" spans="1:17" ht="24.95" customHeight="1">
      <c r="A6" s="1273"/>
      <c r="B6" s="1273" t="s">
        <v>1684</v>
      </c>
      <c r="C6" s="1273"/>
      <c r="D6" s="1273"/>
      <c r="E6" s="1273"/>
      <c r="F6" s="1273"/>
      <c r="G6" s="1273"/>
      <c r="H6" s="1273"/>
      <c r="I6" s="1273"/>
      <c r="J6" s="1273"/>
      <c r="K6" s="1273"/>
      <c r="L6" s="1273"/>
    </row>
    <row r="7" spans="1:17" ht="24.95" customHeight="1">
      <c r="A7" s="1273"/>
      <c r="B7" s="2640" t="s">
        <v>1685</v>
      </c>
      <c r="C7" s="2640"/>
      <c r="D7" s="2640"/>
      <c r="E7" s="2640"/>
      <c r="F7" s="2640"/>
      <c r="G7" s="2640"/>
      <c r="H7" s="2640"/>
      <c r="I7" s="2640"/>
      <c r="J7" s="2640"/>
      <c r="K7" s="1273"/>
      <c r="L7" s="1273"/>
    </row>
    <row r="8" spans="1:17" ht="24.95" customHeight="1">
      <c r="A8" s="1273"/>
      <c r="B8" s="1277"/>
      <c r="C8" s="1273"/>
      <c r="D8" s="1273"/>
      <c r="E8" s="1273"/>
      <c r="F8" s="1273"/>
      <c r="G8" s="1273"/>
      <c r="H8" s="1273"/>
      <c r="I8" s="1273"/>
      <c r="J8" s="1273"/>
      <c r="K8" s="1273"/>
      <c r="L8" s="1273"/>
    </row>
    <row r="9" spans="1:17" ht="24.95" customHeight="1">
      <c r="A9" s="1278"/>
      <c r="B9" s="2641" t="s">
        <v>1688</v>
      </c>
      <c r="C9" s="2641"/>
      <c r="D9" s="2641"/>
      <c r="E9" s="2641"/>
      <c r="F9" s="2641"/>
      <c r="G9" s="1273"/>
      <c r="H9" s="1273"/>
      <c r="I9" s="1273"/>
      <c r="J9" s="1273"/>
      <c r="K9" s="1273"/>
      <c r="L9" s="1273"/>
    </row>
    <row r="10" spans="1:17" ht="24.95" customHeight="1">
      <c r="A10" s="1273"/>
      <c r="B10" s="1277"/>
      <c r="C10" s="1273"/>
      <c r="D10" s="1273"/>
      <c r="E10" s="1273"/>
      <c r="F10" s="1273"/>
      <c r="G10" s="1273"/>
      <c r="H10" s="1273"/>
      <c r="I10" s="1273"/>
      <c r="J10" s="1273"/>
      <c r="K10" s="1273"/>
      <c r="L10" s="1273"/>
    </row>
    <row r="11" spans="1:17" ht="24.95" customHeight="1">
      <c r="A11" s="1274"/>
      <c r="B11" s="2640" t="s">
        <v>1689</v>
      </c>
      <c r="C11" s="2640"/>
      <c r="D11" s="2640"/>
      <c r="E11" s="2640"/>
      <c r="F11" s="2640"/>
      <c r="G11" s="2640"/>
      <c r="H11" s="2640"/>
      <c r="I11" s="2640"/>
      <c r="J11" s="1274"/>
      <c r="K11" s="1274"/>
      <c r="L11" s="1274"/>
      <c r="M11" s="1274"/>
      <c r="N11" s="1274"/>
    </row>
    <row r="12" spans="1:17" ht="24.95" customHeight="1">
      <c r="A12" s="1274"/>
      <c r="B12" s="1277"/>
      <c r="C12" s="1274"/>
      <c r="D12" s="1274"/>
      <c r="E12" s="1274"/>
      <c r="F12" s="1274"/>
      <c r="G12" s="1274"/>
      <c r="H12" s="1274"/>
      <c r="I12" s="1274"/>
      <c r="J12" s="1274"/>
      <c r="K12" s="1274"/>
      <c r="L12" s="1274"/>
      <c r="M12" s="1274"/>
      <c r="N12" s="1274"/>
    </row>
    <row r="13" spans="1:17" ht="24.95" customHeight="1">
      <c r="A13" s="1274"/>
      <c r="B13" s="2640" t="s">
        <v>1690</v>
      </c>
      <c r="C13" s="2640"/>
      <c r="D13" s="2640"/>
      <c r="E13" s="2640"/>
      <c r="F13" s="2640"/>
      <c r="G13" s="2640"/>
      <c r="H13" s="2640"/>
      <c r="I13" s="2640"/>
      <c r="J13" s="2640"/>
      <c r="K13" s="2640"/>
      <c r="L13" s="2640"/>
      <c r="M13" s="2640"/>
      <c r="N13" s="2640"/>
    </row>
    <row r="14" spans="1:17" ht="24.95" customHeight="1">
      <c r="A14" s="1274"/>
      <c r="B14" s="1277"/>
      <c r="C14" s="1274"/>
      <c r="D14" s="1274"/>
      <c r="E14" s="1274"/>
      <c r="F14" s="1274"/>
      <c r="G14" s="1274"/>
      <c r="H14" s="1274"/>
      <c r="I14" s="1274"/>
      <c r="J14" s="1274"/>
      <c r="K14" s="1274"/>
      <c r="L14" s="1274"/>
      <c r="M14" s="1274"/>
      <c r="N14" s="1274"/>
    </row>
    <row r="15" spans="1:17" ht="24.95" customHeight="1">
      <c r="A15" s="1274"/>
      <c r="B15" s="2640" t="s">
        <v>1690</v>
      </c>
      <c r="C15" s="2640"/>
      <c r="D15" s="2640"/>
      <c r="E15" s="2640"/>
      <c r="F15" s="2640"/>
      <c r="G15" s="2640"/>
      <c r="H15" s="2640"/>
      <c r="I15" s="2640"/>
      <c r="J15" s="2640"/>
      <c r="K15" s="2640"/>
      <c r="L15" s="2640"/>
      <c r="M15" s="2640"/>
      <c r="N15" s="2640"/>
    </row>
    <row r="16" spans="1:17" ht="24.95" customHeight="1">
      <c r="A16" s="1273"/>
      <c r="B16" s="1277"/>
      <c r="C16" s="1273"/>
      <c r="D16" s="1273"/>
      <c r="E16" s="1273"/>
      <c r="F16" s="1273"/>
      <c r="G16" s="1273"/>
      <c r="H16" s="1273"/>
      <c r="I16" s="1273"/>
      <c r="J16" s="1273"/>
      <c r="K16" s="1273"/>
      <c r="L16" s="1273"/>
    </row>
    <row r="17" spans="1:17" ht="24.95" customHeight="1">
      <c r="A17" s="1274"/>
      <c r="B17" s="2640" t="s">
        <v>1691</v>
      </c>
      <c r="C17" s="2640"/>
      <c r="D17" s="2640"/>
      <c r="E17" s="2640"/>
      <c r="F17" s="2640"/>
      <c r="G17" s="2640"/>
      <c r="H17" s="2640"/>
      <c r="I17" s="2640"/>
      <c r="J17" s="2640"/>
      <c r="K17" s="2640"/>
      <c r="L17" s="2640"/>
      <c r="M17" s="2640"/>
      <c r="N17" s="2640"/>
      <c r="O17" s="2640"/>
      <c r="P17" s="2640"/>
    </row>
    <row r="18" spans="1:17" ht="24.95" customHeight="1">
      <c r="A18" s="1273"/>
      <c r="B18" s="1277"/>
      <c r="C18" s="1273"/>
      <c r="D18" s="1273"/>
      <c r="E18" s="1273"/>
      <c r="F18" s="1273"/>
      <c r="G18" s="1273"/>
      <c r="H18" s="1273"/>
      <c r="I18" s="1273"/>
      <c r="J18" s="1273"/>
      <c r="K18" s="1273"/>
      <c r="L18" s="1273"/>
    </row>
    <row r="19" spans="1:17" ht="24.95" customHeight="1">
      <c r="A19" s="1273"/>
      <c r="B19" s="1274" t="s">
        <v>1686</v>
      </c>
      <c r="C19" s="1274"/>
      <c r="D19" s="1275" t="s">
        <v>1687</v>
      </c>
      <c r="E19" s="1274"/>
      <c r="F19" s="1274"/>
      <c r="G19" s="1274"/>
      <c r="H19" s="1274"/>
      <c r="I19" s="1273"/>
      <c r="J19" s="1273"/>
      <c r="K19" s="1273"/>
      <c r="L19" s="1273"/>
      <c r="N19" s="1276"/>
      <c r="P19" s="1276"/>
    </row>
    <row r="20" spans="1:17" ht="16.149999999999999" customHeight="1">
      <c r="A20" s="1273"/>
      <c r="B20" s="1273"/>
      <c r="C20" s="1273"/>
      <c r="D20" s="1273"/>
      <c r="E20" s="1273"/>
      <c r="F20" s="1273"/>
      <c r="G20" s="1273"/>
      <c r="H20" s="1273"/>
      <c r="I20" s="1273"/>
      <c r="J20" s="1273"/>
      <c r="K20" s="1273"/>
      <c r="L20" s="1273"/>
    </row>
    <row r="21" spans="1:17" ht="16.149999999999999" customHeight="1">
      <c r="B21" s="1231"/>
    </row>
    <row r="31" spans="1:17" ht="16.149999999999999" customHeight="1">
      <c r="A31" s="1154" t="s">
        <v>1608</v>
      </c>
      <c r="B31" s="1155"/>
      <c r="C31" s="1155"/>
      <c r="D31" s="1155"/>
      <c r="E31" s="1155"/>
      <c r="F31" s="1154"/>
      <c r="G31" s="1155"/>
      <c r="H31" s="1155"/>
      <c r="I31" s="1155"/>
      <c r="J31" s="1155"/>
      <c r="K31" s="1155"/>
      <c r="L31" s="1155"/>
      <c r="M31" s="1154"/>
      <c r="N31" s="1155"/>
      <c r="O31" s="1155"/>
    </row>
    <row r="32" spans="1:17" ht="21.6" customHeight="1">
      <c r="K32" s="1157"/>
      <c r="L32" s="1157"/>
      <c r="M32" s="1157"/>
      <c r="N32" s="1157"/>
      <c r="O32" s="1157"/>
      <c r="P32" s="1157"/>
      <c r="Q32" s="1157"/>
    </row>
    <row r="33" spans="10:17" ht="16.149999999999999" customHeight="1">
      <c r="K33" s="1158"/>
      <c r="L33" s="1158"/>
      <c r="M33" s="1158"/>
      <c r="N33" s="1158"/>
      <c r="O33" s="1158"/>
      <c r="P33" s="1158"/>
      <c r="Q33" s="1158"/>
    </row>
    <row r="34" spans="10:17" ht="16.149999999999999" customHeight="1">
      <c r="K34" s="1158"/>
      <c r="L34" s="1158"/>
      <c r="M34" s="1158"/>
      <c r="N34" s="1158"/>
      <c r="O34" s="1158"/>
      <c r="P34" s="1158"/>
      <c r="Q34" s="1158"/>
    </row>
    <row r="35" spans="10:17" ht="16.149999999999999" customHeight="1">
      <c r="J35" s="1159"/>
      <c r="K35" s="1159"/>
      <c r="L35" s="1159"/>
      <c r="M35" s="1159"/>
      <c r="N35" s="1159"/>
      <c r="O35" s="1159"/>
      <c r="P35" s="1159"/>
      <c r="Q35" s="1159"/>
    </row>
    <row r="49" spans="1:15" ht="16.149999999999999" customHeight="1">
      <c r="A49" s="1154" t="s">
        <v>1608</v>
      </c>
      <c r="B49" s="1155"/>
      <c r="C49" s="1155"/>
      <c r="D49" s="1155"/>
      <c r="E49" s="1155"/>
      <c r="F49" s="1154"/>
      <c r="G49" s="1155"/>
      <c r="H49" s="1155"/>
      <c r="I49" s="1155"/>
      <c r="J49" s="1155"/>
      <c r="K49" s="1155"/>
      <c r="L49" s="1155"/>
      <c r="M49" s="1154"/>
      <c r="N49" s="1155"/>
      <c r="O49" s="1155"/>
    </row>
    <row r="72" spans="1:15" ht="16.149999999999999" customHeight="1">
      <c r="A72" s="1271" t="s">
        <v>1680</v>
      </c>
    </row>
    <row r="74" spans="1:15" ht="16.149999999999999" customHeight="1">
      <c r="A74" s="1230" t="s">
        <v>1662</v>
      </c>
      <c r="B74" s="1230"/>
      <c r="C74" s="1230"/>
      <c r="D74" s="1230"/>
      <c r="E74" s="1230"/>
      <c r="F74" s="1230"/>
      <c r="G74" s="1230"/>
      <c r="H74" s="1230"/>
      <c r="I74" s="1230"/>
      <c r="J74" s="1230"/>
      <c r="K74" s="1230"/>
      <c r="L74" s="1230"/>
      <c r="M74" s="1230"/>
      <c r="N74" s="1230"/>
      <c r="O74" s="1230"/>
    </row>
  </sheetData>
  <mergeCells count="7">
    <mergeCell ref="B1:Q1"/>
    <mergeCell ref="B7:J7"/>
    <mergeCell ref="B17:P17"/>
    <mergeCell ref="B15:N15"/>
    <mergeCell ref="B13:N13"/>
    <mergeCell ref="B11:I11"/>
    <mergeCell ref="B9:F9"/>
  </mergeCells>
  <hyperlinks>
    <hyperlink ref="B7" r:id="rId1" display="http://michelmariette.over-blog.fr/"/>
    <hyperlink ref="D19" r:id="rId2"/>
    <hyperlink ref="B9" r:id="rId3" tooltip="GPAO SALAISON jambon cuit -" display="http://michelmariette.over-blog.fr/2016/12/gpao-salaison.html"/>
    <hyperlink ref="B17" r:id="rId4"/>
    <hyperlink ref="B15" r:id="rId5"/>
    <hyperlink ref="B13" r:id="rId6"/>
    <hyperlink ref="B11" r:id="rId7"/>
  </hyperlinks>
  <pageMargins left="0.7" right="0.7" top="0.75" bottom="0.75" header="0.3" footer="0.3"/>
  <pageSetup paperSize="9" orientation="portrait" r:id="rId8"/>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25</vt:i4>
      </vt:variant>
      <vt:variant>
        <vt:lpstr>Plages nommées</vt:lpstr>
      </vt:variant>
      <vt:variant>
        <vt:i4>14</vt:i4>
      </vt:variant>
    </vt:vector>
  </HeadingPairs>
  <TitlesOfParts>
    <vt:vector size="39" baseType="lpstr">
      <vt:lpstr>CONTENU</vt:lpstr>
      <vt:lpstr>Boudin blanc SANS BOYAU</vt:lpstr>
      <vt:lpstr>Patrick Georgin</vt:lpstr>
      <vt:lpstr>boudin-blanc-ENSIA</vt:lpstr>
      <vt:lpstr>Boudin blanc d'Amélie</vt:lpstr>
      <vt:lpstr>boudin-blanc-CEPROC</vt:lpstr>
      <vt:lpstr>Boudin blanc cognac Mariette</vt:lpstr>
      <vt:lpstr>Modèles Michel Mariette</vt:lpstr>
      <vt:lpstr>Boutique OLIDA PARIS</vt:lpstr>
      <vt:lpstr>BB truffé</vt:lpstr>
      <vt:lpstr>BB au cêpes</vt:lpstr>
      <vt:lpstr>BB orange cointreau</vt:lpstr>
      <vt:lpstr>BB kirsch</vt:lpstr>
      <vt:lpstr>BB porto</vt:lpstr>
      <vt:lpstr>BB madére</vt:lpstr>
      <vt:lpstr>BB coganc</vt:lpstr>
      <vt:lpstr>Modèle Portions en Grammes</vt:lpstr>
      <vt:lpstr>Formats-formules-pourcentages</vt:lpstr>
      <vt:lpstr>A Savoir</vt:lpstr>
      <vt:lpstr>Poids fruits et légumes</vt:lpstr>
      <vt:lpstr>Grammages GEMRCN</vt:lpstr>
      <vt:lpstr>Polices de Symboles</vt:lpstr>
      <vt:lpstr>D1- 75 lignes avec ORT</vt:lpstr>
      <vt:lpstr>Nota</vt:lpstr>
      <vt:lpstr>Mode d'emploi</vt:lpstr>
      <vt:lpstr>'Grammages GEMRCN'!Impression_des_titres</vt:lpstr>
      <vt:lpstr>'BB au cêpes'!Zone_d_impression</vt:lpstr>
      <vt:lpstr>'BB coganc'!Zone_d_impression</vt:lpstr>
      <vt:lpstr>'BB kirsch'!Zone_d_impression</vt:lpstr>
      <vt:lpstr>'BB madére'!Zone_d_impression</vt:lpstr>
      <vt:lpstr>'BB orange cointreau'!Zone_d_impression</vt:lpstr>
      <vt:lpstr>'BB porto'!Zone_d_impression</vt:lpstr>
      <vt:lpstr>'BB truffé'!Zone_d_impression</vt:lpstr>
      <vt:lpstr>'Boudin blanc d''Amélie'!Zone_d_impression</vt:lpstr>
      <vt:lpstr>'Boudin blanc SANS BOYAU'!Zone_d_impression</vt:lpstr>
      <vt:lpstr>'boudin-blanc-ENSIA'!Zone_d_impression</vt:lpstr>
      <vt:lpstr>'Grammages GEMRCN'!Zone_d_impression</vt:lpstr>
      <vt:lpstr>'Mode d''emploi'!Zone_d_impression</vt:lpstr>
      <vt:lpstr>'Modèle Portions en Grammes'!Zone_d_impression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Leboucher</dc:creator>
  <cp:lastModifiedBy>Joel Leboucher</cp:lastModifiedBy>
  <cp:lastPrinted>2017-12-15T12:30:31Z</cp:lastPrinted>
  <dcterms:created xsi:type="dcterms:W3CDTF">2017-12-03T06:58:41Z</dcterms:created>
  <dcterms:modified xsi:type="dcterms:W3CDTF">2017-12-31T18:09:06Z</dcterms:modified>
</cp:coreProperties>
</file>